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finansforbundet-my.sharepoint.com/personal/jkn_finansforbundet_dk/Documents/Skrivebord/"/>
    </mc:Choice>
  </mc:AlternateContent>
  <xr:revisionPtr revIDLastSave="0" documentId="8_{627B12B8-2A23-49B5-9C33-A3449AE927EF}" xr6:coauthVersionLast="47" xr6:coauthVersionMax="47" xr10:uidLastSave="{00000000-0000-0000-0000-000000000000}"/>
  <workbookProtection workbookAlgorithmName="SHA-512" workbookHashValue="vTOqzcv8nT5Ne6+k2wg4PkESgNnHRHlYv8pyJDJNgR491RcvJ5Xc2nYe37QdtIrwTz55sGhP5nMb/oGvurBzwg==" workbookSaltValue="2p1+XcxhMx/dyey/qACN8A==" workbookSpinCount="100000" lockStructure="1"/>
  <bookViews>
    <workbookView xWindow="2340" yWindow="2340" windowWidth="38700" windowHeight="15285" xr2:uid="{EE70E132-7FF7-43E2-99A6-16A7525FDBE7}"/>
  </bookViews>
  <sheets>
    <sheet name="Løngrænser Kontraktansatte" sheetId="2" r:id="rId1"/>
    <sheet name="Konstante variabler" sheetId="1" state="hidden" r:id="rId2"/>
  </sheets>
  <definedNames>
    <definedName name="Data">'Konstante variabler'!$A$3:$S$13</definedName>
    <definedName name="Overenskomster">'Konstante variabler'!$A$3:$A$13</definedName>
    <definedName name="_xlnm.Print_Area" localSheetId="0">'Løngrænser Kontraktansatte'!$B$8:$D$54</definedName>
    <definedName name="ÅrstalListe">'Konstante variabler'!$A$20:$A$22</definedName>
    <definedName name="ÅrstalOpslag">'Konstante variabler'!$A$20:$B$22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2" l="1"/>
  <c r="B8" i="2"/>
  <c r="H39" i="2"/>
  <c r="H43" i="2"/>
  <c r="B2" i="2"/>
  <c r="B3" i="2" s="1"/>
  <c r="H31" i="2"/>
  <c r="H27" i="2"/>
  <c r="H23" i="2"/>
  <c r="F35" i="2"/>
  <c r="G35" i="2" s="1"/>
  <c r="B35" i="2" s="1"/>
  <c r="B46" i="2" l="1"/>
  <c r="B19" i="2"/>
  <c r="C35" i="2"/>
  <c r="B6" i="2"/>
  <c r="B5" i="2"/>
  <c r="F43" i="2" l="1"/>
  <c r="F39" i="2"/>
  <c r="B40" i="2" s="1"/>
  <c r="F31" i="2"/>
  <c r="B32" i="2" s="1"/>
  <c r="F27" i="2"/>
  <c r="F23" i="2"/>
  <c r="B28" i="2" s="1"/>
  <c r="F14" i="2"/>
  <c r="F19" i="2" l="1"/>
  <c r="D19" i="2" s="1"/>
  <c r="D35" i="2" s="1"/>
  <c r="F46" i="2"/>
  <c r="G39" i="2"/>
  <c r="B24" i="2"/>
  <c r="D39" i="2" l="1"/>
  <c r="D43" i="2"/>
  <c r="D31" i="2"/>
  <c r="D27" i="2"/>
  <c r="B44" i="2"/>
  <c r="B39" i="2"/>
  <c r="D23" i="2" l="1"/>
  <c r="D46" i="2" s="1"/>
  <c r="D49" i="2" s="1"/>
  <c r="B52" i="2" l="1"/>
  <c r="B49" i="2"/>
  <c r="B51" i="2"/>
  <c r="B53" i="2"/>
  <c r="B50" i="2"/>
</calcChain>
</file>

<file path=xl/sharedStrings.xml><?xml version="1.0" encoding="utf-8"?>
<sst xmlns="http://schemas.openxmlformats.org/spreadsheetml/2006/main" count="87" uniqueCount="60">
  <si>
    <t>Overenskomst</t>
  </si>
  <si>
    <t>Netto løngrænse
2025</t>
  </si>
  <si>
    <t>Netto løngrænse
2027</t>
  </si>
  <si>
    <t>Rubrik 0</t>
  </si>
  <si>
    <t>Rubrik 1</t>
  </si>
  <si>
    <t>Rubrik 2</t>
  </si>
  <si>
    <t>Omsorgsdage</t>
  </si>
  <si>
    <t>Rubrik 3</t>
  </si>
  <si>
    <t>Rubrik 4</t>
  </si>
  <si>
    <t>6. ferieuge</t>
  </si>
  <si>
    <t>Rubrik 5</t>
  </si>
  <si>
    <t>Arbejdsgiver pensionsbidrag</t>
  </si>
  <si>
    <t>Nedsættelse af arbejdsgiver pensionsbidrag</t>
  </si>
  <si>
    <t>Rubrik 5a</t>
  </si>
  <si>
    <t>Rubrik 6</t>
  </si>
  <si>
    <t>Særligt ferietillæg</t>
  </si>
  <si>
    <t>Kompensation St. Bededag</t>
  </si>
  <si>
    <t>Rubrik 7</t>
  </si>
  <si>
    <t>Rubrik 8</t>
  </si>
  <si>
    <t>Standardoverenskomsten (STOKen)</t>
  </si>
  <si>
    <t>Arbejdernes Landsbank (VOK)</t>
  </si>
  <si>
    <t>Danske Bank (VOK)</t>
  </si>
  <si>
    <t>Løngrænse din virksomhed
2025</t>
  </si>
  <si>
    <t>Løngrænse din virksomhed
2026</t>
  </si>
  <si>
    <t>Løngrænse din virksomhed
2027</t>
  </si>
  <si>
    <t>Jyske Bank (VOK)</t>
  </si>
  <si>
    <t>Nykredit (VOK)</t>
  </si>
  <si>
    <t>Nordea (VOK)</t>
  </si>
  <si>
    <t>Er din løn lavere end grænsen, kan du også have penge til gode. Derfor er det vigtigt, at du kontakter Finansforbundet, så vi kan hjælpe dig med at vurdere om du har penge til gode og beregne kompensationen.</t>
  </si>
  <si>
    <t>Vælg  overenskomst</t>
  </si>
  <si>
    <t>Beløb</t>
  </si>
  <si>
    <r>
      <rPr>
        <i/>
        <sz val="11"/>
        <color theme="1"/>
        <rFont val="Aptos"/>
        <family val="2"/>
      </rPr>
      <t>Rubrik 9</t>
    </r>
    <r>
      <rPr>
        <b/>
        <sz val="11"/>
        <color theme="1"/>
        <rFont val="Aptos"/>
        <family val="2"/>
      </rPr>
      <t xml:space="preserve">
Samlede månedsløn inkl. eget pensionsbidrag fra din seneste lønseddel
</t>
    </r>
    <r>
      <rPr>
        <sz val="8"/>
        <color theme="1"/>
        <rFont val="Aptos"/>
        <family val="2"/>
      </rPr>
      <t>Indsæt din seneste månedsløn - det skal være den samlede faste månedsløn inkl. eget pensionsbidrag</t>
    </r>
  </si>
  <si>
    <t>Sæt kryds hvis du har ret til 5 overenskomstbestemte feriedage med løn pr. år</t>
  </si>
  <si>
    <t>Brug rullelisten til at vælge den overenskomst der gælder for dig.</t>
  </si>
  <si>
    <t xml:space="preserve">Vælg årstal for beregning </t>
  </si>
  <si>
    <t>Brug rullelisten til at vælge det årstal du  vil lave en beregning for.</t>
  </si>
  <si>
    <t>Årstal</t>
  </si>
  <si>
    <t>Faktor</t>
  </si>
  <si>
    <t>Sæt kryds hvis du har ret til 5 omsorgsdage med løn pr. år</t>
  </si>
  <si>
    <t xml:space="preserve">Sæt kryds hvis du fastholder uændret arbejdsgivers pensionsbidrag. </t>
  </si>
  <si>
    <t>Arbejdsgivers pensionsbidrag</t>
  </si>
  <si>
    <t>Nedsættelse af arbejdsgivers pensionsbidrag</t>
  </si>
  <si>
    <t>Sæt kryds hvis du har ret til kompensation - dvs. kompensationen ikke er inkluderet i din løn</t>
  </si>
  <si>
    <t>Rubrik5</t>
  </si>
  <si>
    <r>
      <rPr>
        <sz val="14"/>
        <color theme="3" tint="9.9978637043366805E-2"/>
        <rFont val="Aptos"/>
        <family val="2"/>
      </rPr>
      <t>Sådan gør du trin for trin</t>
    </r>
    <r>
      <rPr>
        <sz val="11"/>
        <color theme="1"/>
        <rFont val="Aptos Narrow"/>
        <family val="2"/>
        <scheme val="minor"/>
      </rPr>
      <t xml:space="preserve">
•    Klik på </t>
    </r>
    <r>
      <rPr>
        <b/>
        <sz val="11"/>
        <color theme="1"/>
        <rFont val="Aptos Narrow"/>
        <family val="2"/>
        <scheme val="minor"/>
      </rPr>
      <t>Aktiver redigering</t>
    </r>
    <r>
      <rPr>
        <sz val="11"/>
        <color theme="1"/>
        <rFont val="Aptos Narrow"/>
        <family val="2"/>
        <scheme val="minor"/>
      </rPr>
      <t xml:space="preserve"> i "Toppen" af Excelarket.
•    Vælg den overenskomst du er omfattet af vha. rullelisten i rubrik 0.
•    Vælg årstal for beregning vha. rullelisten i rubrik 1.
•    Afkryds i </t>
    </r>
    <r>
      <rPr>
        <i/>
        <sz val="11"/>
        <color theme="1"/>
        <rFont val="Aptos Narrow"/>
        <family val="2"/>
        <scheme val="minor"/>
      </rPr>
      <t>rubrikkerne 3-7</t>
    </r>
    <r>
      <rPr>
        <sz val="11"/>
        <color theme="1"/>
        <rFont val="Aptos Narrow"/>
        <family val="2"/>
        <scheme val="minor"/>
      </rPr>
      <t xml:space="preserve"> hvilke vilkår der fremgår af din kontrakt.
•    Har du fået et lavere pensionbidrag ved ansættelse på kontrakt, skal du indtaste nedsættelsen i rubrik 5a.
•    Indtast din samlede månedsløn inkl. eget pensionsbidrag, fra din seneste lønseddel i </t>
    </r>
    <r>
      <rPr>
        <i/>
        <sz val="11"/>
        <color theme="1"/>
        <rFont val="Aptos Narrow"/>
        <family val="2"/>
        <scheme val="minor"/>
      </rPr>
      <t>rubrik 9.</t>
    </r>
    <r>
      <rPr>
        <sz val="11"/>
        <color theme="1"/>
        <rFont val="Aptos Narrow"/>
        <family val="2"/>
        <scheme val="minor"/>
      </rPr>
      <t xml:space="preserve">
•    Resultatet af beregningen fremgår af  </t>
    </r>
    <r>
      <rPr>
        <i/>
        <sz val="11"/>
        <color theme="1"/>
        <rFont val="Aptos Narrow"/>
        <family val="2"/>
        <scheme val="minor"/>
      </rPr>
      <t>rubrik 8 og 9</t>
    </r>
    <r>
      <rPr>
        <sz val="11"/>
        <color theme="1"/>
        <rFont val="Aptos Narrow"/>
        <family val="2"/>
        <scheme val="minor"/>
      </rPr>
      <t xml:space="preserve">. Er beløbet i </t>
    </r>
    <r>
      <rPr>
        <i/>
        <sz val="11"/>
        <color theme="1"/>
        <rFont val="Aptos Narrow"/>
        <family val="2"/>
        <scheme val="minor"/>
      </rPr>
      <t>rubrik 9</t>
    </r>
    <r>
      <rPr>
        <sz val="11"/>
        <color theme="1"/>
        <rFont val="Aptos Narrow"/>
        <family val="2"/>
        <scheme val="minor"/>
      </rPr>
      <t xml:space="preserve"> lavere end i </t>
    </r>
    <r>
      <rPr>
        <i/>
        <sz val="11"/>
        <color theme="1"/>
        <rFont val="Aptos Narrow"/>
        <family val="2"/>
        <scheme val="minor"/>
      </rPr>
      <t>rubrik 8</t>
    </r>
    <r>
      <rPr>
        <sz val="11"/>
        <color theme="1"/>
        <rFont val="Aptos Narrow"/>
        <family val="2"/>
        <scheme val="minor"/>
      </rPr>
      <t>, skal du kontakte Finansforbundet.</t>
    </r>
  </si>
  <si>
    <t>Start afkrydsning
 FALSK= tom, SAND= Fyldt</t>
  </si>
  <si>
    <t>Ringkjøbing Landbobank (VOK)</t>
  </si>
  <si>
    <t>standardoverenskomstens (STOKens)</t>
  </si>
  <si>
    <t>STOKens</t>
  </si>
  <si>
    <t>VOKens</t>
  </si>
  <si>
    <t>Standardoverenskomstens</t>
  </si>
  <si>
    <t>Virksomhedsoverenskomstens</t>
  </si>
  <si>
    <t>Variabler i tekst</t>
  </si>
  <si>
    <t>kontraktansatte2025</t>
  </si>
  <si>
    <t>virksomhedsoverenskomstens (VOKens)</t>
  </si>
  <si>
    <t>Redigering af ark
Tilladt, Ikke tilladt</t>
  </si>
  <si>
    <t>Tilladt</t>
  </si>
  <si>
    <t>Ikke tilladt</t>
  </si>
  <si>
    <t>Finansforbundet Løngrænseberegning ver. 01 - december 2025</t>
  </si>
  <si>
    <t>Netto løngrænse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</si>
</sst>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r.&quot;_-;\-* #,##0.00\ &quot;kr.&quot;_-;_-* &quot;-&quot;??\ &quot;kr.&quot;_-;_-@_-"/>
    <numFmt numFmtId="164" formatCode="0.000%"/>
    <numFmt numFmtId="165" formatCode="_-* #,##0\ &quot;kr.&quot;_-;\-* #,##0\ &quot;kr.&quot;_-;_-* &quot;-&quot;??\ &quot;kr.&quot;_-;_-@_-"/>
  </numFmts>
  <fonts count="23"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i/>
      <sz val="11"/>
      <color theme="1"/>
      <name val="Aptos Narrow"/>
      <family val="2"/>
      <scheme val="minor"/>
    </font>
    <font>
      <sz val="20"/>
      <color theme="3" tint="9.9978637043366805E-2"/>
      <name val="Aptos Display"/>
      <family val="2"/>
      <scheme val="major"/>
    </font>
    <font>
      <sz val="14"/>
      <color theme="3" tint="9.9978637043366805E-2"/>
      <name val="Aptos"/>
      <family val="2"/>
    </font>
    <font>
      <b/>
      <sz val="11"/>
      <color theme="1"/>
      <name val="Aptos"/>
      <family val="2"/>
    </font>
    <font>
      <i/>
      <sz val="11"/>
      <color theme="1"/>
      <name val="Aptos"/>
      <family val="2"/>
    </font>
    <font>
      <sz val="11"/>
      <color theme="1"/>
      <name val="Aptos"/>
      <family val="2"/>
    </font>
    <font>
      <sz val="8"/>
      <color theme="1"/>
      <name val="Aptos"/>
      <family val="2"/>
    </font>
    <font>
      <b/>
      <sz val="11"/>
      <color theme="0"/>
      <name val="Aptos"/>
      <family val="2"/>
    </font>
    <font>
      <sz val="10"/>
      <color theme="1"/>
      <name val="Aptos"/>
      <family val="2"/>
    </font>
    <font>
      <b/>
      <sz val="11"/>
      <name val="Aptos"/>
      <family val="2"/>
    </font>
    <font>
      <i/>
      <sz val="11"/>
      <name val="Aptos"/>
      <family val="2"/>
    </font>
    <font>
      <sz val="11"/>
      <name val="Aptos"/>
      <family val="2"/>
    </font>
    <font>
      <sz val="8"/>
      <name val="Aptos"/>
      <family val="2"/>
    </font>
    <font>
      <sz val="10"/>
      <name val="Aptos"/>
      <family val="2"/>
    </font>
    <font>
      <b/>
      <sz val="12"/>
      <color theme="1"/>
      <name val="Aptos"/>
      <family val="2"/>
    </font>
    <font>
      <b/>
      <sz val="12"/>
      <color theme="1"/>
      <name val="Aptos Narrow"/>
      <family val="2"/>
      <scheme val="minor"/>
    </font>
    <font>
      <i/>
      <sz val="8"/>
      <color theme="1"/>
      <name val="Aptos Narrow"/>
      <family val="2"/>
      <scheme val="minor"/>
    </font>
    <font>
      <sz val="8"/>
      <name val="Aptos Narrow"/>
      <family val="2"/>
      <scheme val="minor"/>
    </font>
    <font>
      <sz val="11"/>
      <name val="Aptos Narrow"/>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theme="0" tint="-4.9989318521683403E-2"/>
        <bgColor indexed="64"/>
      </patternFill>
    </fill>
  </fills>
  <borders count="31">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3">
    <xf numFmtId="0" fontId="0" fillId="0" borderId="0" xfId="0"/>
    <xf numFmtId="0" fontId="3" fillId="0" borderId="0" xfId="0" applyFont="1"/>
    <xf numFmtId="0" fontId="3" fillId="0" borderId="0" xfId="0" applyFont="1" applyAlignment="1">
      <alignment wrapText="1"/>
    </xf>
    <xf numFmtId="0" fontId="4" fillId="0" borderId="0" xfId="0" applyFont="1"/>
    <xf numFmtId="3" fontId="0" fillId="0" borderId="0" xfId="0" applyNumberFormat="1"/>
    <xf numFmtId="164" fontId="0" fillId="0" borderId="0" xfId="0" applyNumberFormat="1"/>
    <xf numFmtId="3" fontId="2" fillId="0" borderId="0" xfId="0" applyNumberFormat="1" applyFont="1"/>
    <xf numFmtId="164" fontId="0" fillId="0" borderId="0" xfId="2" applyNumberFormat="1" applyFont="1"/>
    <xf numFmtId="0" fontId="0" fillId="0" borderId="0" xfId="0" applyProtection="1">
      <protection hidden="1"/>
    </xf>
    <xf numFmtId="0" fontId="0" fillId="0" borderId="0" xfId="0" applyProtection="1">
      <protection locked="0" hidden="1"/>
    </xf>
    <xf numFmtId="0" fontId="0" fillId="0" borderId="0" xfId="0" applyAlignment="1" applyProtection="1">
      <alignment vertical="center"/>
      <protection hidden="1"/>
    </xf>
    <xf numFmtId="0" fontId="0" fillId="0" borderId="0" xfId="0" applyAlignment="1">
      <alignment vertical="center"/>
    </xf>
    <xf numFmtId="165" fontId="9" fillId="0" borderId="0" xfId="1" applyNumberFormat="1" applyFont="1" applyAlignment="1" applyProtection="1">
      <alignment horizontal="right"/>
      <protection hidden="1"/>
    </xf>
    <xf numFmtId="164" fontId="12" fillId="0" borderId="0" xfId="0" applyNumberFormat="1" applyFont="1" applyAlignment="1" applyProtection="1">
      <alignment horizontal="right" wrapText="1"/>
      <protection hidden="1"/>
    </xf>
    <xf numFmtId="0" fontId="12" fillId="0" borderId="0" xfId="0" applyFont="1" applyAlignment="1" applyProtection="1">
      <alignment horizontal="left" wrapText="1"/>
      <protection hidden="1"/>
    </xf>
    <xf numFmtId="164" fontId="17" fillId="0" borderId="0" xfId="0" applyNumberFormat="1" applyFont="1" applyAlignment="1" applyProtection="1">
      <alignment horizontal="right" wrapText="1"/>
      <protection hidden="1"/>
    </xf>
    <xf numFmtId="0" fontId="17" fillId="0" borderId="0" xfId="0" applyFont="1" applyAlignment="1" applyProtection="1">
      <alignment wrapText="1"/>
      <protection hidden="1"/>
    </xf>
    <xf numFmtId="164" fontId="0" fillId="0" borderId="0" xfId="0" applyNumberFormat="1" applyProtection="1">
      <protection hidden="1"/>
    </xf>
    <xf numFmtId="44" fontId="1" fillId="0" borderId="0" xfId="1" applyFont="1" applyProtection="1">
      <protection hidden="1"/>
    </xf>
    <xf numFmtId="165" fontId="19" fillId="0" borderId="14" xfId="0" applyNumberFormat="1" applyFont="1" applyBorder="1" applyProtection="1">
      <protection hidden="1"/>
    </xf>
    <xf numFmtId="44" fontId="19" fillId="0" borderId="0" xfId="0" applyNumberFormat="1" applyFont="1" applyProtection="1">
      <protection hidden="1"/>
    </xf>
    <xf numFmtId="0" fontId="20" fillId="0" borderId="0" xfId="0" applyFont="1"/>
    <xf numFmtId="0" fontId="0" fillId="0" borderId="17" xfId="0" applyBorder="1" applyAlignment="1">
      <alignment vertical="center" wrapText="1"/>
    </xf>
    <xf numFmtId="0" fontId="0" fillId="0" borderId="18" xfId="0" applyBorder="1" applyAlignment="1">
      <alignment vertical="center"/>
    </xf>
    <xf numFmtId="0" fontId="0" fillId="0" borderId="18" xfId="0" applyBorder="1" applyAlignment="1">
      <alignment vertical="center" wrapText="1"/>
    </xf>
    <xf numFmtId="0" fontId="0" fillId="0" borderId="21" xfId="0" applyBorder="1"/>
    <xf numFmtId="0" fontId="7" fillId="0" borderId="17" xfId="0" applyFont="1" applyBorder="1" applyAlignment="1">
      <alignment wrapText="1"/>
    </xf>
    <xf numFmtId="165" fontId="9" fillId="0" borderId="21" xfId="1" applyNumberFormat="1" applyFont="1" applyBorder="1" applyAlignment="1" applyProtection="1">
      <alignment wrapText="1"/>
    </xf>
    <xf numFmtId="0" fontId="0" fillId="0" borderId="18" xfId="0" applyBorder="1"/>
    <xf numFmtId="0" fontId="9" fillId="0" borderId="17" xfId="0" applyFont="1" applyBorder="1" applyAlignment="1">
      <alignment wrapText="1"/>
    </xf>
    <xf numFmtId="165" fontId="9" fillId="0" borderId="18" xfId="1" applyNumberFormat="1" applyFont="1" applyBorder="1" applyAlignment="1" applyProtection="1">
      <alignment wrapText="1"/>
    </xf>
    <xf numFmtId="0" fontId="10" fillId="0" borderId="26" xfId="0" applyFont="1" applyBorder="1" applyAlignment="1">
      <alignment wrapText="1"/>
    </xf>
    <xf numFmtId="165" fontId="9" fillId="0" borderId="23" xfId="1" applyNumberFormat="1" applyFont="1" applyBorder="1" applyAlignment="1" applyProtection="1">
      <alignment wrapText="1"/>
    </xf>
    <xf numFmtId="0" fontId="0" fillId="0" borderId="0" xfId="0" applyAlignment="1">
      <alignment vertical="center" wrapText="1"/>
    </xf>
    <xf numFmtId="0" fontId="0" fillId="3" borderId="15" xfId="0" applyFill="1" applyBorder="1" applyAlignment="1">
      <alignment vertical="center" wrapText="1"/>
    </xf>
    <xf numFmtId="0" fontId="0" fillId="3" borderId="16" xfId="0" applyFill="1" applyBorder="1" applyAlignment="1">
      <alignment vertical="center" wrapText="1"/>
    </xf>
    <xf numFmtId="0" fontId="3" fillId="3" borderId="16" xfId="0" applyFont="1" applyFill="1" applyBorder="1" applyAlignment="1">
      <alignment horizontal="center" vertical="center"/>
    </xf>
    <xf numFmtId="0" fontId="8" fillId="3" borderId="6" xfId="0" applyFont="1" applyFill="1" applyBorder="1" applyAlignment="1">
      <alignment wrapText="1"/>
    </xf>
    <xf numFmtId="0" fontId="0" fillId="3" borderId="24" xfId="0" applyFill="1" applyBorder="1"/>
    <xf numFmtId="0" fontId="0" fillId="3" borderId="25" xfId="0" applyFill="1" applyBorder="1"/>
    <xf numFmtId="0" fontId="0" fillId="3" borderId="28" xfId="0" applyFill="1" applyBorder="1"/>
    <xf numFmtId="0" fontId="0" fillId="3" borderId="22" xfId="0" applyFill="1" applyBorder="1"/>
    <xf numFmtId="10" fontId="12" fillId="0" borderId="0" xfId="0" applyNumberFormat="1" applyFont="1" applyAlignment="1" applyProtection="1">
      <alignment horizontal="right" wrapText="1"/>
      <protection hidden="1"/>
    </xf>
    <xf numFmtId="10" fontId="12" fillId="0" borderId="0" xfId="2" applyNumberFormat="1" applyFont="1" applyAlignment="1" applyProtection="1">
      <alignment horizontal="left" wrapText="1"/>
      <protection hidden="1"/>
    </xf>
    <xf numFmtId="0" fontId="12" fillId="0" borderId="0" xfId="0" applyFont="1" applyAlignment="1" applyProtection="1">
      <alignment horizontal="center" wrapText="1"/>
      <protection hidden="1"/>
    </xf>
    <xf numFmtId="0" fontId="4" fillId="0" borderId="0" xfId="0" applyFont="1" applyAlignment="1">
      <alignment wrapText="1"/>
    </xf>
    <xf numFmtId="164" fontId="22" fillId="0" borderId="0" xfId="0" applyNumberFormat="1" applyFont="1"/>
    <xf numFmtId="0" fontId="0" fillId="3" borderId="0" xfId="0" applyFill="1"/>
    <xf numFmtId="0" fontId="0" fillId="0" borderId="21" xfId="0" applyBorder="1" applyAlignment="1">
      <alignment vertical="center"/>
    </xf>
    <xf numFmtId="0" fontId="11" fillId="0" borderId="0" xfId="0" applyFont="1" applyAlignment="1" applyProtection="1">
      <alignment horizontal="center" vertical="center" wrapText="1"/>
      <protection locked="0" hidden="1"/>
      <extLst>
        <ext xmlns:xfpb="http://schemas.microsoft.com/office/spreadsheetml/2022/featurepropertybag" uri="{C7286773-470A-42A8-94C5-96B5CB345126}">
          <xfpb:xfComplement i="0"/>
        </ext>
      </extLst>
    </xf>
    <xf numFmtId="165" fontId="9" fillId="0" borderId="18" xfId="1" applyNumberFormat="1" applyFont="1" applyBorder="1" applyAlignment="1" applyProtection="1">
      <alignment wrapText="1"/>
      <protection hidden="1"/>
    </xf>
    <xf numFmtId="10" fontId="9" fillId="0" borderId="9" xfId="2" applyNumberFormat="1" applyFont="1" applyBorder="1" applyAlignment="1" applyProtection="1">
      <alignment horizontal="center" wrapText="1"/>
      <protection locked="0" hidden="1"/>
    </xf>
    <xf numFmtId="0" fontId="15" fillId="0" borderId="17" xfId="0" applyFont="1" applyBorder="1" applyAlignment="1" applyProtection="1">
      <alignment wrapText="1"/>
      <protection hidden="1"/>
    </xf>
    <xf numFmtId="0" fontId="14" fillId="3" borderId="6" xfId="0" applyFont="1" applyFill="1" applyBorder="1" applyAlignment="1" applyProtection="1">
      <alignment wrapText="1"/>
      <protection hidden="1"/>
    </xf>
    <xf numFmtId="0" fontId="13" fillId="0" borderId="17" xfId="0" applyFont="1" applyBorder="1" applyAlignment="1" applyProtection="1">
      <alignment wrapText="1"/>
      <protection hidden="1"/>
    </xf>
    <xf numFmtId="0" fontId="8" fillId="3" borderId="6" xfId="0" applyFont="1" applyFill="1" applyBorder="1" applyAlignment="1" applyProtection="1">
      <alignment wrapText="1"/>
      <protection hidden="1"/>
    </xf>
    <xf numFmtId="0" fontId="7" fillId="0" borderId="17" xfId="0" applyFont="1" applyBorder="1" applyAlignment="1" applyProtection="1">
      <alignment wrapText="1"/>
      <protection hidden="1"/>
    </xf>
    <xf numFmtId="0" fontId="9" fillId="0" borderId="17" xfId="0" applyFont="1" applyBorder="1" applyAlignment="1" applyProtection="1">
      <alignment wrapText="1"/>
      <protection hidden="1"/>
    </xf>
    <xf numFmtId="0" fontId="10" fillId="0" borderId="17" xfId="0" applyFont="1" applyBorder="1" applyAlignment="1" applyProtection="1">
      <alignment wrapText="1"/>
      <protection hidden="1"/>
    </xf>
    <xf numFmtId="0" fontId="8" fillId="3" borderId="17" xfId="0" applyFont="1" applyFill="1" applyBorder="1" applyAlignment="1" applyProtection="1">
      <alignment wrapText="1"/>
      <protection hidden="1"/>
    </xf>
    <xf numFmtId="0" fontId="10" fillId="0" borderId="26" xfId="0" applyFont="1" applyBorder="1" applyAlignment="1" applyProtection="1">
      <alignment wrapText="1"/>
      <protection hidden="1"/>
    </xf>
    <xf numFmtId="0" fontId="0" fillId="0" borderId="17" xfId="0" applyBorder="1" applyAlignment="1" applyProtection="1">
      <alignment vertical="center" wrapText="1"/>
      <protection hidden="1"/>
    </xf>
    <xf numFmtId="0" fontId="3" fillId="0" borderId="17" xfId="0" applyFont="1" applyBorder="1" applyAlignment="1" applyProtection="1">
      <alignment vertical="center" wrapText="1"/>
      <protection hidden="1"/>
    </xf>
    <xf numFmtId="0" fontId="4" fillId="3" borderId="5" xfId="0" applyFont="1" applyFill="1" applyBorder="1" applyAlignment="1" applyProtection="1">
      <alignment vertical="center" wrapText="1"/>
      <protection hidden="1"/>
    </xf>
    <xf numFmtId="0" fontId="0" fillId="0" borderId="8" xfId="0" applyBorder="1" applyAlignment="1" applyProtection="1">
      <alignment vertical="center" wrapText="1"/>
      <protection hidden="1"/>
    </xf>
    <xf numFmtId="0" fontId="11" fillId="0" borderId="27" xfId="0" applyFont="1" applyBorder="1" applyAlignment="1" applyProtection="1">
      <alignment horizontal="center" vertical="center" wrapText="1"/>
      <protection hidden="1"/>
      <extLst>
        <ext xmlns:xfpb="http://schemas.microsoft.com/office/spreadsheetml/2022/featurepropertybag" uri="{C7286773-470A-42A8-94C5-96B5CB345126}">
          <xfpb:xfComplement i="0"/>
        </ext>
      </extLst>
    </xf>
    <xf numFmtId="0" fontId="11" fillId="0" borderId="0" xfId="0" applyFont="1" applyAlignment="1" applyProtection="1">
      <alignment horizontal="center" vertical="center" wrapText="1"/>
      <protection hidden="1"/>
      <extLst>
        <ext xmlns:xfpb="http://schemas.microsoft.com/office/spreadsheetml/2022/featurepropertybag" uri="{C7286773-470A-42A8-94C5-96B5CB345126}">
          <xfpb:xfComplement i="0"/>
        </ext>
      </extLst>
    </xf>
    <xf numFmtId="10" fontId="9" fillId="0" borderId="9" xfId="2" applyNumberFormat="1" applyFont="1" applyBorder="1" applyAlignment="1" applyProtection="1">
      <alignment horizontal="center" wrapText="1"/>
      <protection hidden="1"/>
    </xf>
    <xf numFmtId="10" fontId="9" fillId="0" borderId="29" xfId="2" applyNumberFormat="1" applyFont="1" applyBorder="1" applyAlignment="1" applyProtection="1">
      <alignment horizontal="center" wrapText="1"/>
      <protection hidden="1"/>
    </xf>
    <xf numFmtId="0" fontId="0" fillId="2" borderId="20" xfId="0" applyFill="1" applyBorder="1" applyAlignment="1" applyProtection="1">
      <alignment vertical="center"/>
      <protection locked="0" hidden="1"/>
    </xf>
    <xf numFmtId="0" fontId="0" fillId="2" borderId="20" xfId="0" applyFill="1" applyBorder="1" applyAlignment="1" applyProtection="1">
      <alignment horizontal="left" vertical="center" wrapText="1"/>
      <protection locked="0" hidden="1"/>
    </xf>
    <xf numFmtId="0" fontId="0" fillId="2" borderId="7" xfId="0" applyFill="1" applyBorder="1" applyAlignment="1" applyProtection="1">
      <alignment vertical="center"/>
      <protection hidden="1"/>
    </xf>
    <xf numFmtId="0" fontId="0" fillId="2" borderId="7" xfId="0" applyFill="1" applyBorder="1" applyAlignment="1" applyProtection="1">
      <alignment horizontal="left" vertical="center" wrapText="1"/>
      <protection hidden="1"/>
    </xf>
    <xf numFmtId="0" fontId="3" fillId="0" borderId="0" xfId="0" applyFont="1" applyAlignment="1" applyProtection="1">
      <alignment horizontal="center" vertical="center"/>
      <protection hidden="1"/>
    </xf>
    <xf numFmtId="44" fontId="9" fillId="0" borderId="0" xfId="1" applyFont="1" applyBorder="1" applyProtection="1">
      <protection hidden="1"/>
    </xf>
    <xf numFmtId="44" fontId="9" fillId="0" borderId="0" xfId="1" applyFont="1" applyBorder="1" applyAlignment="1" applyProtection="1">
      <alignment wrapText="1"/>
      <protection hidden="1"/>
    </xf>
    <xf numFmtId="0" fontId="0" fillId="0" borderId="0" xfId="0" applyAlignment="1" applyProtection="1">
      <alignment horizontal="center"/>
      <protection hidden="1"/>
    </xf>
    <xf numFmtId="0" fontId="17" fillId="0" borderId="0" xfId="0" applyFont="1" applyAlignment="1" applyProtection="1">
      <alignment horizontal="center" wrapText="1"/>
      <protection hidden="1"/>
    </xf>
    <xf numFmtId="44" fontId="0" fillId="0" borderId="0" xfId="1" applyFont="1" applyBorder="1" applyProtection="1">
      <protection hidden="1"/>
    </xf>
    <xf numFmtId="0" fontId="0" fillId="0" borderId="0" xfId="0" applyProtection="1">
      <protection locked="0"/>
    </xf>
    <xf numFmtId="0" fontId="5" fillId="0" borderId="0" xfId="0" applyFont="1"/>
    <xf numFmtId="0" fontId="0" fillId="0" borderId="0" xfId="0" applyAlignment="1">
      <alignment wrapText="1"/>
    </xf>
    <xf numFmtId="0" fontId="0" fillId="0" borderId="17" xfId="0" applyBorder="1"/>
    <xf numFmtId="0" fontId="0" fillId="0" borderId="10" xfId="0" applyBorder="1"/>
    <xf numFmtId="0" fontId="0" fillId="0" borderId="19" xfId="0" applyBorder="1"/>
    <xf numFmtId="0" fontId="3" fillId="0" borderId="3" xfId="0" applyFont="1" applyBorder="1"/>
    <xf numFmtId="0" fontId="3" fillId="0" borderId="4" xfId="0" applyFont="1" applyBorder="1"/>
    <xf numFmtId="0" fontId="0" fillId="0" borderId="17" xfId="0" applyBorder="1" applyAlignment="1">
      <alignment wrapText="1"/>
    </xf>
    <xf numFmtId="0" fontId="0" fillId="0" borderId="18" xfId="0" applyBorder="1" applyAlignment="1">
      <alignment wrapText="1"/>
    </xf>
    <xf numFmtId="0" fontId="0" fillId="0" borderId="10" xfId="0" applyBorder="1" applyAlignment="1">
      <alignment wrapText="1"/>
    </xf>
    <xf numFmtId="0" fontId="0" fillId="0" borderId="1" xfId="0" applyBorder="1" applyAlignment="1">
      <alignment wrapText="1"/>
    </xf>
    <xf numFmtId="0" fontId="0" fillId="0" borderId="19" xfId="0" applyBorder="1" applyAlignment="1">
      <alignment wrapText="1"/>
    </xf>
    <xf numFmtId="0" fontId="0" fillId="0" borderId="2" xfId="0" applyBorder="1"/>
    <xf numFmtId="0" fontId="0" fillId="0" borderId="4" xfId="0" applyBorder="1"/>
    <xf numFmtId="0" fontId="0" fillId="0" borderId="0" xfId="0" quotePrefix="1"/>
    <xf numFmtId="0" fontId="7" fillId="3" borderId="0" xfId="0" applyFont="1" applyFill="1" applyAlignment="1" applyProtection="1">
      <alignment vertical="center" wrapText="1"/>
      <protection hidden="1"/>
    </xf>
    <xf numFmtId="165" fontId="9" fillId="3" borderId="18" xfId="1" applyNumberFormat="1" applyFont="1" applyFill="1" applyBorder="1" applyAlignment="1" applyProtection="1">
      <protection hidden="1"/>
    </xf>
    <xf numFmtId="165" fontId="9" fillId="3" borderId="21" xfId="1" applyNumberFormat="1" applyFont="1" applyFill="1" applyBorder="1" applyAlignment="1" applyProtection="1">
      <protection hidden="1"/>
    </xf>
    <xf numFmtId="0" fontId="7" fillId="3" borderId="17" xfId="0" applyFont="1" applyFill="1" applyBorder="1" applyAlignment="1" applyProtection="1">
      <alignment vertical="center" wrapText="1"/>
      <protection hidden="1"/>
    </xf>
    <xf numFmtId="0" fontId="16" fillId="0" borderId="17" xfId="0" applyFont="1" applyBorder="1" applyAlignment="1" applyProtection="1">
      <alignment wrapText="1"/>
      <protection hidden="1"/>
    </xf>
    <xf numFmtId="165" fontId="9" fillId="3" borderId="25" xfId="1" applyNumberFormat="1" applyFont="1" applyFill="1" applyBorder="1" applyAlignment="1" applyProtection="1">
      <alignment wrapText="1"/>
    </xf>
    <xf numFmtId="0" fontId="11" fillId="3" borderId="24" xfId="0" applyFont="1" applyFill="1" applyBorder="1" applyAlignment="1" applyProtection="1">
      <alignment horizontal="center" vertical="center" wrapText="1"/>
      <protection hidden="1"/>
    </xf>
    <xf numFmtId="165" fontId="3" fillId="3" borderId="19" xfId="1" applyNumberFormat="1" applyFont="1" applyFill="1" applyBorder="1" applyAlignment="1" applyProtection="1">
      <alignment horizontal="left" vertical="center"/>
      <protection hidden="1"/>
    </xf>
    <xf numFmtId="44" fontId="3" fillId="0" borderId="0" xfId="1" applyFont="1" applyBorder="1" applyAlignment="1" applyProtection="1">
      <alignment vertical="center"/>
      <protection hidden="1"/>
    </xf>
    <xf numFmtId="165" fontId="1" fillId="0" borderId="0" xfId="1" applyNumberFormat="1" applyFont="1" applyAlignment="1" applyProtection="1">
      <alignment vertical="center"/>
      <protection hidden="1"/>
    </xf>
    <xf numFmtId="164" fontId="0" fillId="0" borderId="0" xfId="0" applyNumberFormat="1" applyAlignment="1" applyProtection="1">
      <alignment vertical="center"/>
      <protection hidden="1"/>
    </xf>
    <xf numFmtId="165" fontId="3" fillId="3" borderId="18" xfId="1" applyNumberFormat="1" applyFont="1" applyFill="1" applyBorder="1" applyAlignment="1" applyProtection="1">
      <alignment horizontal="left" vertical="center"/>
      <protection hidden="1"/>
    </xf>
    <xf numFmtId="0" fontId="7" fillId="0" borderId="26" xfId="0" applyFont="1" applyBorder="1" applyAlignment="1" applyProtection="1">
      <alignment wrapText="1"/>
      <protection hidden="1"/>
    </xf>
    <xf numFmtId="0" fontId="7" fillId="0" borderId="30" xfId="0" applyFont="1" applyBorder="1" applyAlignment="1">
      <alignment wrapText="1"/>
    </xf>
    <xf numFmtId="0" fontId="7" fillId="3" borderId="10" xfId="0" applyFont="1" applyFill="1" applyBorder="1" applyAlignment="1">
      <alignment horizontal="left" vertical="center" wrapText="1"/>
    </xf>
    <xf numFmtId="0" fontId="7" fillId="3" borderId="1" xfId="0" applyFont="1" applyFill="1" applyBorder="1" applyAlignment="1">
      <alignment horizontal="left" vertical="center" wrapText="1"/>
    </xf>
    <xf numFmtId="165" fontId="22" fillId="2" borderId="11" xfId="1" applyNumberFormat="1" applyFont="1" applyFill="1" applyBorder="1" applyAlignment="1" applyProtection="1">
      <alignment vertical="center"/>
      <protection locked="0"/>
    </xf>
    <xf numFmtId="0" fontId="0" fillId="0" borderId="5" xfId="0" applyBorder="1" applyAlignment="1" applyProtection="1">
      <alignment vertical="center"/>
      <protection hidden="1"/>
    </xf>
    <xf numFmtId="0" fontId="3" fillId="0" borderId="15" xfId="0" applyFont="1" applyBorder="1" applyAlignment="1" applyProtection="1">
      <alignment vertical="center" wrapText="1"/>
      <protection hidden="1"/>
    </xf>
    <xf numFmtId="0" fontId="3" fillId="0" borderId="16" xfId="0" applyFont="1" applyBorder="1" applyAlignment="1" applyProtection="1">
      <alignment horizontal="center" vertical="center"/>
      <protection hidden="1"/>
    </xf>
    <xf numFmtId="0" fontId="0" fillId="3" borderId="25" xfId="0" applyFill="1" applyBorder="1" applyProtection="1">
      <protection hidden="1"/>
    </xf>
    <xf numFmtId="0" fontId="5" fillId="0" borderId="3" xfId="0" applyFont="1" applyBorder="1" applyAlignment="1" applyProtection="1">
      <alignment vertical="center" wrapText="1"/>
      <protection hidden="1"/>
    </xf>
    <xf numFmtId="0" fontId="5" fillId="0" borderId="2" xfId="0" applyFont="1" applyBorder="1" applyAlignment="1">
      <alignment vertical="center" wrapText="1"/>
    </xf>
    <xf numFmtId="0" fontId="5" fillId="0" borderId="4" xfId="0" applyFont="1" applyBorder="1" applyAlignment="1">
      <alignment vertical="center" wrapText="1"/>
    </xf>
    <xf numFmtId="0" fontId="4" fillId="3" borderId="5" xfId="0" applyFont="1" applyFill="1" applyBorder="1" applyAlignment="1" applyProtection="1">
      <alignment vertical="center" wrapText="1"/>
      <protection hidden="1"/>
    </xf>
    <xf numFmtId="0" fontId="3" fillId="3" borderId="15" xfId="0" applyFont="1" applyFill="1" applyBorder="1" applyAlignment="1" applyProtection="1">
      <alignment vertical="center" wrapText="1"/>
      <protection hidden="1"/>
    </xf>
    <xf numFmtId="0" fontId="9" fillId="0" borderId="10" xfId="0" applyFont="1" applyBorder="1" applyAlignment="1" applyProtection="1">
      <alignment vertical="center"/>
      <protection hidden="1"/>
    </xf>
    <xf numFmtId="0" fontId="9" fillId="0" borderId="1" xfId="0" applyFont="1" applyBorder="1" applyAlignment="1" applyProtection="1">
      <alignment vertical="center"/>
      <protection hidden="1"/>
    </xf>
    <xf numFmtId="0" fontId="9" fillId="0" borderId="19" xfId="0" applyFont="1" applyBorder="1" applyAlignment="1" applyProtection="1">
      <alignment vertical="center"/>
      <protection hidden="1"/>
    </xf>
    <xf numFmtId="0" fontId="8" fillId="3" borderId="6" xfId="0" applyFont="1" applyFill="1" applyBorder="1" applyAlignment="1" applyProtection="1">
      <alignment vertical="center" wrapText="1"/>
      <protection hidden="1"/>
    </xf>
    <xf numFmtId="0" fontId="7" fillId="3" borderId="24" xfId="0" applyFont="1" applyFill="1" applyBorder="1" applyAlignment="1" applyProtection="1">
      <alignment vertical="center" wrapText="1"/>
      <protection hidden="1"/>
    </xf>
    <xf numFmtId="0" fontId="7" fillId="3" borderId="17" xfId="0" applyFont="1" applyFill="1" applyBorder="1" applyAlignment="1">
      <alignment horizontal="left" vertical="center" wrapText="1"/>
    </xf>
    <xf numFmtId="0" fontId="7" fillId="3" borderId="0" xfId="0" applyFont="1" applyFill="1" applyAlignment="1">
      <alignment horizontal="left" vertical="center" wrapText="1"/>
    </xf>
    <xf numFmtId="0" fontId="18" fillId="0" borderId="12" xfId="0" applyFont="1" applyBorder="1"/>
    <xf numFmtId="0" fontId="18" fillId="0" borderId="13" xfId="0" applyFont="1" applyBorder="1"/>
    <xf numFmtId="0" fontId="18" fillId="0" borderId="5" xfId="0" applyFont="1" applyBorder="1" applyProtection="1">
      <protection hidden="1"/>
    </xf>
    <xf numFmtId="0" fontId="18" fillId="0" borderId="15" xfId="0" applyFont="1" applyBorder="1" applyProtection="1">
      <protection hidden="1"/>
    </xf>
    <xf numFmtId="0" fontId="18" fillId="0" borderId="16" xfId="0" applyFont="1" applyBorder="1" applyProtection="1">
      <protection hidden="1"/>
    </xf>
    <xf numFmtId="0" fontId="9" fillId="0" borderId="17" xfId="0" applyFont="1" applyBorder="1" applyAlignment="1" applyProtection="1">
      <alignment vertical="center"/>
      <protection hidden="1"/>
    </xf>
    <xf numFmtId="0" fontId="9" fillId="0" borderId="0" xfId="0" applyFont="1" applyAlignment="1" applyProtection="1">
      <alignment vertical="center"/>
      <protection hidden="1"/>
    </xf>
    <xf numFmtId="0" fontId="9" fillId="0" borderId="18" xfId="0" applyFont="1" applyBorder="1" applyAlignment="1" applyProtection="1">
      <alignment vertical="center"/>
      <protection hidden="1"/>
    </xf>
    <xf numFmtId="0" fontId="9" fillId="0" borderId="17" xfId="0" applyFont="1" applyBorder="1" applyAlignment="1" applyProtection="1">
      <alignment vertical="center" wrapText="1"/>
      <protection hidden="1"/>
    </xf>
    <xf numFmtId="0" fontId="9" fillId="0" borderId="0" xfId="0" applyFont="1" applyAlignment="1" applyProtection="1">
      <alignment vertical="center" wrapText="1"/>
      <protection hidden="1"/>
    </xf>
    <xf numFmtId="0" fontId="9" fillId="0" borderId="18" xfId="0" applyFont="1" applyBorder="1" applyAlignment="1" applyProtection="1">
      <alignment vertical="center" wrapText="1"/>
      <protection hidden="1"/>
    </xf>
    <xf numFmtId="0" fontId="0" fillId="0" borderId="0" xfId="0" applyAlignment="1" applyProtection="1">
      <alignment vertical="top" wrapText="1"/>
      <protection hidden="1"/>
    </xf>
    <xf numFmtId="0" fontId="0" fillId="0" borderId="1" xfId="0" applyBorder="1" applyAlignment="1" applyProtection="1">
      <alignment vertical="top" wrapText="1"/>
      <protection hidden="1"/>
    </xf>
    <xf numFmtId="0" fontId="0" fillId="0" borderId="2" xfId="0" applyBorder="1" applyAlignment="1" applyProtection="1">
      <alignment vertical="center" wrapText="1"/>
      <protection hidden="1"/>
    </xf>
    <xf numFmtId="0" fontId="3" fillId="0" borderId="0" xfId="0" applyFont="1" applyAlignment="1">
      <alignment wrapText="1"/>
    </xf>
  </cellXfs>
  <cellStyles count="3">
    <cellStyle name="Normal" xfId="0" builtinId="0"/>
    <cellStyle name="Procent" xfId="2" builtinId="5"/>
    <cellStyle name="Valuta" xfId="1" builtinId="4"/>
  </cellStyles>
  <dxfs count="3">
    <dxf>
      <font>
        <color rgb="FF00B050"/>
      </font>
    </dxf>
    <dxf>
      <font>
        <color rgb="FFFF000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C23" lockText="1" noThreeD="1"/>
</file>

<file path=xl/ctrlProps/ctrlProp2.xml><?xml version="1.0" encoding="utf-8"?>
<formControlPr xmlns="http://schemas.microsoft.com/office/spreadsheetml/2009/9/main" objectType="CheckBox" fmlaLink="C27" lockText="1" noThreeD="1"/>
</file>

<file path=xl/ctrlProps/ctrlProp3.xml><?xml version="1.0" encoding="utf-8"?>
<formControlPr xmlns="http://schemas.microsoft.com/office/spreadsheetml/2009/9/main" objectType="CheckBox" fmlaLink="C31" lockText="1" noThreeD="1"/>
</file>

<file path=xl/ctrlProps/ctrlProp4.xml><?xml version="1.0" encoding="utf-8"?>
<formControlPr xmlns="http://schemas.microsoft.com/office/spreadsheetml/2009/9/main" objectType="CheckBox" fmlaLink="C39" lockText="1" noThreeD="1"/>
</file>

<file path=xl/ctrlProps/ctrlProp5.xml><?xml version="1.0" encoding="utf-8"?>
<formControlPr xmlns="http://schemas.microsoft.com/office/spreadsheetml/2009/9/main" objectType="CheckBox" fmlaLink="C43"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257175</xdr:colOff>
          <xdr:row>21</xdr:row>
          <xdr:rowOff>76200</xdr:rowOff>
        </xdr:from>
        <xdr:to>
          <xdr:col>2</xdr:col>
          <xdr:colOff>676275</xdr:colOff>
          <xdr:row>23</xdr:row>
          <xdr:rowOff>171450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25</xdr:row>
          <xdr:rowOff>28575</xdr:rowOff>
        </xdr:from>
        <xdr:to>
          <xdr:col>2</xdr:col>
          <xdr:colOff>676275</xdr:colOff>
          <xdr:row>28</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29</xdr:row>
          <xdr:rowOff>0</xdr:rowOff>
        </xdr:from>
        <xdr:to>
          <xdr:col>2</xdr:col>
          <xdr:colOff>676275</xdr:colOff>
          <xdr:row>32</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37</xdr:row>
          <xdr:rowOff>28575</xdr:rowOff>
        </xdr:from>
        <xdr:to>
          <xdr:col>2</xdr:col>
          <xdr:colOff>676275</xdr:colOff>
          <xdr:row>40</xdr:row>
          <xdr:rowOff>38100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41</xdr:row>
          <xdr:rowOff>9525</xdr:rowOff>
        </xdr:from>
        <xdr:to>
          <xdr:col>2</xdr:col>
          <xdr:colOff>676275</xdr:colOff>
          <xdr:row>44</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3B196-A4B0-4394-A905-A7DE9A9D7D66}">
  <sheetPr>
    <pageSetUpPr fitToPage="1"/>
  </sheetPr>
  <dimension ref="A1:N54"/>
  <sheetViews>
    <sheetView showGridLines="0" showRowColHeaders="0" tabSelected="1" zoomScale="140" zoomScaleNormal="140" workbookViewId="0">
      <selection activeCell="C11" sqref="C11"/>
      <extLst>
        <ext xmlns:xlsdti="http://schemas.microsoft.com/office/spreadsheetml/2023/showDataTypeIcons" uri="{77bfe23e-c014-4d31-8a63-9c772dbf06b6}">
          <xlsdti:showDataTypeIcons visible="0"/>
        </ext>
      </extLst>
    </sheetView>
  </sheetViews>
  <sheetFormatPr defaultColWidth="0" defaultRowHeight="14.45" customHeight="1" zeroHeight="1" x14ac:dyDescent="0.25"/>
  <cols>
    <col min="1" max="1" width="2" customWidth="1"/>
    <col min="2" max="2" width="97" customWidth="1"/>
    <col min="3" max="3" width="11.85546875" customWidth="1"/>
    <col min="4" max="4" width="20.42578125" customWidth="1"/>
    <col min="5" max="5" width="2" style="8" customWidth="1"/>
    <col min="6" max="6" width="11.42578125" style="8" hidden="1" customWidth="1"/>
    <col min="7" max="7" width="12.85546875" style="8" hidden="1" customWidth="1"/>
    <col min="8" max="8" width="6.140625" style="8" hidden="1" customWidth="1"/>
    <col min="9" max="9" width="4.5703125" style="8" hidden="1" customWidth="1"/>
    <col min="10" max="10" width="12.42578125" style="8" hidden="1" customWidth="1"/>
    <col min="11" max="16384" width="4.5703125" style="8" hidden="1"/>
  </cols>
  <sheetData>
    <row r="1" spans="1:9" ht="6" customHeight="1" x14ac:dyDescent="0.25">
      <c r="C1" s="8"/>
      <c r="D1" s="8"/>
    </row>
    <row r="2" spans="1:9" ht="26.25" x14ac:dyDescent="0.4">
      <c r="B2" s="80" t="str">
        <f>IF(RIGHT(C11,5)="(VOK)",LEFT(C11,LEN(C11)-5)&amp;" Virksomhedsoverenskomst(VOK)",C11)</f>
        <v>Danske Bank  Virksomhedsoverenskomst(VOK)</v>
      </c>
      <c r="C2" s="79"/>
      <c r="D2" s="8"/>
      <c r="G2" s="8" t="s">
        <v>53</v>
      </c>
    </row>
    <row r="3" spans="1:9" ht="50.1" customHeight="1" x14ac:dyDescent="0.25">
      <c r="A3" s="8"/>
      <c r="B3" s="139" t="str">
        <f>"Som kontraktansat skal du løbende tjekke, om din månedsløn ligger over eller under " &amp; IF($B$2="Standardoverenskomsten (STOKen)",'Konstante variabler'!A27,'Konstante variabler'!A28) &amp; " løngrænse for ansættelse på kontrakt. Hvis din månedsløn er lavere end grænsen, så kan du nemlig ikke være ansat på kontrakt. I så fald omfattes du af alle " &amp; IF($B$2="Standardoverenskomsten (STOKen)",'Konstante variabler'!B27,'Konstante variabler'!B28) &amp; " vilkår (fx de årlige generelle lønstigninger) ligesom øvrige medarbejdere, ellers skal din arbejdsgiver hæve din månedsløn, så den igen ligger over grænsen."</f>
        <v>Som kontraktansat skal du løbende tjekke, om din månedsløn ligger over eller under virksomhedsoverenskomstens (VOKens) løngrænse for ansættelse på kontrakt. Hvis din månedsløn er lavere end grænsen, så kan du nemlig ikke være ansat på kontrakt. I så fald omfattes du af alle VOKens vilkår (fx de årlige generelle lønstigninger) ligesom øvrige medarbejdere, ellers skal din arbejdsgiver hæve din månedsløn, så den igen ligger over grænsen.</v>
      </c>
      <c r="C3" s="139"/>
      <c r="D3" s="139"/>
    </row>
    <row r="4" spans="1:9" ht="36" customHeight="1" x14ac:dyDescent="0.25">
      <c r="A4" s="8"/>
      <c r="B4" s="139" t="s">
        <v>28</v>
      </c>
      <c r="C4" s="139"/>
      <c r="D4" s="139"/>
    </row>
    <row r="5" spans="1:9" ht="35.450000000000003" customHeight="1" x14ac:dyDescent="0.25">
      <c r="A5" s="8"/>
      <c r="B5" s="139" t="str">
        <f>"Løngrænsen for ansættelse på kontrakt afhænger af, om værdien af " &amp; IF($B$2="Standardoverenskomsten (STOKen)",'Konstante variabler'!B27,'Konstante variabler'!B28) &amp; " omsorgsdage, 6. ferieuge, arbejdsgivers pensionsbidrag, særligt ferietillæg og kompensationen for Store Bededag er indregnet i din månedsløn, eller om du fortsat har ret til disse vilkår."</f>
        <v>Løngrænsen for ansættelse på kontrakt afhænger af, om værdien af VOKens omsorgsdage, 6. ferieuge, arbejdsgivers pensionsbidrag, særligt ferietillæg og kompensationen for Store Bededag er indregnet i din månedsløn, eller om du fortsat har ret til disse vilkår.</v>
      </c>
      <c r="C5" s="139"/>
      <c r="D5" s="139"/>
    </row>
    <row r="6" spans="1:9" ht="51" customHeight="1" thickBot="1" x14ac:dyDescent="0.3">
      <c r="A6" s="8"/>
      <c r="B6" s="140" t="str">
        <f>"For at gøre det nemt kan du bruge værktøjet herunder til hurtigt at tjekke, om din månedsløn ligger over eller under " &amp; IF($B$2="Standardoverenskomsten (STOKen)",'Konstante variabler'!B27,'Konstante variabler'!B28) &amp; " løngrænse. Værktøjet beregner " &amp; IF($B$2="Standardoverenskomsten (STOKen)",'Konstante variabler'!B27,'Konstante variabler'!B28) &amp; " løngrænse for kontraktansættelse i din virksomhed på baggrund af dine indtastninger. Dernæst skal du tage din seneste lønseddel og holde din samlede månedsløn inkl. eget pensionsbidrag op imod løngrænsen for at se om din månedsløn ligger over eller under" &amp; " overenskomstens løngrænse."</f>
        <v>For at gøre det nemt kan du bruge værktøjet herunder til hurtigt at tjekke, om din månedsløn ligger over eller under VOKens løngrænse. Værktøjet beregner VOKens løngrænse for kontraktansættelse i din virksomhed på baggrund af dine indtastninger. Dernæst skal du tage din seneste lønseddel og holde din samlede månedsløn inkl. eget pensionsbidrag op imod løngrænsen for at se om din månedsløn ligger over eller under overenskomstens løngrænse.</v>
      </c>
      <c r="C6" s="140"/>
      <c r="D6" s="140"/>
    </row>
    <row r="7" spans="1:9" ht="131.1" customHeight="1" thickBot="1" x14ac:dyDescent="0.3">
      <c r="A7" s="8"/>
      <c r="B7" s="141" t="s">
        <v>44</v>
      </c>
      <c r="C7" s="141"/>
      <c r="D7" s="141"/>
    </row>
    <row r="8" spans="1:9" ht="38.1" customHeight="1" thickBot="1" x14ac:dyDescent="0.3">
      <c r="A8" s="8"/>
      <c r="B8" s="116" t="str">
        <f>IF(RIGHT(C11,5)="(VOK)",LEFT(C11,LEN(C11)-5)&amp;" Virksomhedsoverenskomst(VOK)",C11) &amp; " - " &amp; C15</f>
        <v>Danske Bank  Virksomhedsoverenskomst(VOK) - 2025</v>
      </c>
      <c r="C8" s="117"/>
      <c r="D8" s="118"/>
    </row>
    <row r="9" spans="1:9" ht="18.600000000000001" customHeight="1" x14ac:dyDescent="0.25">
      <c r="B9" s="63" t="s">
        <v>3</v>
      </c>
      <c r="C9" s="34"/>
      <c r="D9" s="35"/>
    </row>
    <row r="10" spans="1:9" ht="18.600000000000001" customHeight="1" x14ac:dyDescent="0.25">
      <c r="B10" s="62" t="s">
        <v>29</v>
      </c>
      <c r="D10" s="25"/>
    </row>
    <row r="11" spans="1:9" ht="17.45" customHeight="1" x14ac:dyDescent="0.25">
      <c r="B11" s="64" t="s">
        <v>33</v>
      </c>
      <c r="C11" s="69" t="s">
        <v>21</v>
      </c>
      <c r="D11" s="71"/>
    </row>
    <row r="12" spans="1:9" ht="15.6" customHeight="1" thickBot="1" x14ac:dyDescent="0.3">
      <c r="B12" s="61"/>
      <c r="C12" s="33"/>
      <c r="D12" s="24"/>
    </row>
    <row r="13" spans="1:9" s="10" customFormat="1" ht="18.600000000000001" customHeight="1" x14ac:dyDescent="0.25">
      <c r="A13" s="11"/>
      <c r="B13" s="119" t="s">
        <v>4</v>
      </c>
      <c r="C13" s="120"/>
      <c r="D13" s="36"/>
      <c r="E13" s="73"/>
      <c r="G13" s="8"/>
      <c r="H13" s="8"/>
      <c r="I13" s="8"/>
    </row>
    <row r="14" spans="1:9" s="10" customFormat="1" ht="18.600000000000001" customHeight="1" x14ac:dyDescent="0.25">
      <c r="A14" s="11"/>
      <c r="B14" s="62" t="s">
        <v>34</v>
      </c>
      <c r="C14" s="11"/>
      <c r="D14" s="48"/>
      <c r="E14" s="73"/>
      <c r="F14" s="10">
        <f>VLOOKUP(C15,ÅrstalOpslag,2,FALSE)</f>
        <v>1</v>
      </c>
      <c r="G14" s="8"/>
      <c r="H14" s="8"/>
      <c r="I14" s="8"/>
    </row>
    <row r="15" spans="1:9" s="10" customFormat="1" ht="18.600000000000001" customHeight="1" x14ac:dyDescent="0.25">
      <c r="A15" s="11"/>
      <c r="B15" s="61" t="s">
        <v>35</v>
      </c>
      <c r="C15" s="70">
        <v>2025</v>
      </c>
      <c r="D15" s="72"/>
      <c r="E15" s="73"/>
      <c r="G15" s="8"/>
      <c r="H15" s="8"/>
      <c r="I15" s="8"/>
    </row>
    <row r="16" spans="1:9" s="10" customFormat="1" ht="8.4499999999999993" customHeight="1" x14ac:dyDescent="0.25">
      <c r="A16" s="11"/>
      <c r="B16" s="22"/>
      <c r="C16" s="11"/>
      <c r="D16" s="23"/>
      <c r="E16" s="73"/>
      <c r="G16" s="8"/>
      <c r="H16" s="8"/>
      <c r="I16" s="8"/>
    </row>
    <row r="17" spans="1:14" s="10" customFormat="1" ht="18.600000000000001" hidden="1" customHeight="1" thickBot="1" x14ac:dyDescent="0.3">
      <c r="A17" s="11"/>
      <c r="B17" s="112"/>
      <c r="C17" s="113"/>
      <c r="D17" s="114" t="s">
        <v>30</v>
      </c>
      <c r="E17" s="73"/>
      <c r="G17" s="8"/>
      <c r="H17" s="8"/>
      <c r="I17" s="8"/>
    </row>
    <row r="18" spans="1:14" ht="18.600000000000001" customHeight="1" x14ac:dyDescent="0.25">
      <c r="B18" s="124" t="s">
        <v>5</v>
      </c>
      <c r="C18" s="125"/>
      <c r="D18" s="115"/>
      <c r="E18" s="74"/>
    </row>
    <row r="19" spans="1:14" ht="18.600000000000001" customHeight="1" x14ac:dyDescent="0.25">
      <c r="B19" s="98" t="str">
        <f>IF($B$2="Standardoverenskomsten (STOKen)",'Konstante variabler'!C27,'Konstante variabler'!C28) &amp; " løngrænse for ansættelse på individuel kontrakt" &amp; IF($B$2="Standardoverenskomsten (STOKen)"," i din virksomhed","") &amp; " (netto)"</f>
        <v>Virksomhedsoverenskomstens løngrænse for ansættelse på individuel kontrakt (netto)</v>
      </c>
      <c r="C19" s="95"/>
      <c r="D19" s="96">
        <f>F19</f>
        <v>79200</v>
      </c>
      <c r="E19" s="74"/>
      <c r="F19" s="12">
        <f>VLOOKUP($C$11,Data,1+F14,FALSE)</f>
        <v>79200</v>
      </c>
      <c r="J19" s="14" t="str">
        <f>VLOOKUP($C$11,Data,19,FALSE)</f>
        <v>Ikke tilladt</v>
      </c>
    </row>
    <row r="20" spans="1:14" ht="15.6" customHeight="1" x14ac:dyDescent="0.25">
      <c r="B20" s="98"/>
      <c r="C20" s="95"/>
      <c r="D20" s="97"/>
      <c r="E20" s="74"/>
      <c r="F20" s="12"/>
    </row>
    <row r="21" spans="1:14" ht="18.600000000000001" customHeight="1" x14ac:dyDescent="0.25">
      <c r="B21" s="55" t="s">
        <v>7</v>
      </c>
      <c r="C21" s="38"/>
      <c r="D21" s="39"/>
      <c r="E21" s="75"/>
      <c r="J21" s="14"/>
      <c r="K21" s="14"/>
      <c r="L21" s="14"/>
      <c r="M21" s="14"/>
      <c r="N21" s="14"/>
    </row>
    <row r="22" spans="1:14" ht="18.600000000000001" customHeight="1" x14ac:dyDescent="0.25">
      <c r="B22" s="56" t="s">
        <v>6</v>
      </c>
      <c r="C22" s="66" t="b">
        <v>0</v>
      </c>
      <c r="D22" s="28"/>
      <c r="E22" s="75"/>
      <c r="F22" s="13"/>
      <c r="J22" s="14"/>
      <c r="K22" s="14"/>
      <c r="L22" s="14"/>
      <c r="M22" s="14"/>
      <c r="N22" s="14"/>
    </row>
    <row r="23" spans="1:14" ht="18.600000000000001" customHeight="1" x14ac:dyDescent="0.25">
      <c r="B23" s="57" t="s">
        <v>38</v>
      </c>
      <c r="C23" s="49" t="b">
        <v>0</v>
      </c>
      <c r="D23" s="50">
        <f>IF($J$19="Tilladt",IF(C23=TRUE,0,IF(F46&gt;0,(D19+D35+D39)*F23,$D$19*F23)),IF(H23=TRUE,0,IF(F46&gt;0,(D19+D35+D39)*F23,$D$19*F23)))</f>
        <v>1572.34176</v>
      </c>
      <c r="E23" s="75"/>
      <c r="F23" s="13">
        <f>VLOOKUP($C$11,Data,5,FALSE)</f>
        <v>1.9199999999999998E-2</v>
      </c>
      <c r="H23" s="76" t="b">
        <f>VLOOKUP($C$11,Data,14,FALSE)</f>
        <v>0</v>
      </c>
      <c r="K23" s="14"/>
      <c r="L23" s="14"/>
      <c r="M23" s="14"/>
      <c r="N23" s="14"/>
    </row>
    <row r="24" spans="1:14" ht="15.6" customHeight="1" x14ac:dyDescent="0.25">
      <c r="B24" s="60" t="str">
        <f>"Værdien af fem O-dage beregnes af (samlet fast månedsløn inkl. eget pensionsbidrag + særligt ferietillæg + arbejdsgivers pensionsbidrag) ~ " &amp; TEXT(F23,"0,000%")</f>
        <v>Værdien af fem O-dage beregnes af (samlet fast månedsløn inkl. eget pensionsbidrag + særligt ferietillæg + arbejdsgivers pensionsbidrag) ~ 1,920%</v>
      </c>
      <c r="C24" s="65" t="b">
        <v>0</v>
      </c>
      <c r="D24" s="27"/>
      <c r="E24" s="75"/>
      <c r="F24" s="13"/>
      <c r="J24" s="14"/>
      <c r="K24" s="14"/>
      <c r="L24" s="14"/>
      <c r="M24" s="14"/>
      <c r="N24" s="14"/>
    </row>
    <row r="25" spans="1:14" ht="18.600000000000001" customHeight="1" x14ac:dyDescent="0.25">
      <c r="B25" s="37" t="s">
        <v>8</v>
      </c>
      <c r="C25" s="47"/>
      <c r="D25" s="39"/>
      <c r="E25" s="75"/>
      <c r="G25" s="14"/>
      <c r="H25" s="14"/>
      <c r="I25" s="14"/>
      <c r="J25" s="14"/>
      <c r="K25" s="14"/>
      <c r="L25" s="14"/>
      <c r="M25" s="14"/>
      <c r="N25" s="14"/>
    </row>
    <row r="26" spans="1:14" ht="18.600000000000001" customHeight="1" x14ac:dyDescent="0.25">
      <c r="B26" s="26" t="s">
        <v>9</v>
      </c>
      <c r="C26" s="66" t="b">
        <v>0</v>
      </c>
      <c r="D26" s="30"/>
      <c r="E26" s="75"/>
      <c r="F26" s="13"/>
      <c r="G26" s="14"/>
      <c r="H26" s="14"/>
      <c r="I26" s="14"/>
      <c r="J26" s="14"/>
      <c r="K26" s="14"/>
      <c r="L26" s="14"/>
      <c r="M26" s="14"/>
      <c r="N26" s="14"/>
    </row>
    <row r="27" spans="1:14" ht="18.600000000000001" customHeight="1" x14ac:dyDescent="0.25">
      <c r="B27" s="29" t="s">
        <v>32</v>
      </c>
      <c r="C27" s="49" t="b">
        <v>0</v>
      </c>
      <c r="D27" s="30">
        <f>IF($J$19="Tilladt",IF(C27=TRUE,0,$D$19*F27),IF(H27=TRUE,0,$D$19*F27))</f>
        <v>0</v>
      </c>
      <c r="E27" s="75"/>
      <c r="F27" s="13">
        <f>VLOOKUP($C$11,Data,6,FALSE)</f>
        <v>1.9199999999999998E-2</v>
      </c>
      <c r="H27" s="44" t="b">
        <f>VLOOKUP($C$11,Data,15,FALSE)</f>
        <v>1</v>
      </c>
      <c r="I27" s="14"/>
      <c r="J27" s="14"/>
      <c r="K27" s="14"/>
      <c r="L27" s="14"/>
      <c r="M27" s="14"/>
      <c r="N27" s="14"/>
    </row>
    <row r="28" spans="1:14" ht="23.25" x14ac:dyDescent="0.25">
      <c r="B28" s="31" t="str">
        <f>"Værdien af de overenskomstbestemte feriedage beregnes af (samlet fast månedsløn inkl. eget pensionsbidrag + særligt ferietillæg + arbejdsgivers pensionsbidrag) ~ " &amp; TEXT(F23,"0,000%")</f>
        <v>Værdien af de overenskomstbestemte feriedage beregnes af (samlet fast månedsløn inkl. eget pensionsbidrag + særligt ferietillæg + arbejdsgivers pensionsbidrag) ~ 1,920%</v>
      </c>
      <c r="C28" s="65" t="b">
        <v>1</v>
      </c>
      <c r="D28" s="27"/>
      <c r="E28" s="75"/>
      <c r="F28" s="13"/>
      <c r="G28" s="14"/>
      <c r="H28" s="14"/>
      <c r="I28" s="14"/>
      <c r="J28" s="14"/>
      <c r="K28" s="14"/>
      <c r="L28" s="14"/>
      <c r="M28" s="14"/>
      <c r="N28" s="14"/>
    </row>
    <row r="29" spans="1:14" ht="18.600000000000001" customHeight="1" x14ac:dyDescent="0.25">
      <c r="B29" s="55" t="s">
        <v>10</v>
      </c>
      <c r="C29" s="47"/>
      <c r="D29" s="39"/>
      <c r="E29" s="75"/>
      <c r="G29" s="14"/>
      <c r="H29" s="14"/>
      <c r="I29" s="14"/>
      <c r="J29" s="14"/>
      <c r="K29" s="14"/>
      <c r="L29" s="14"/>
      <c r="M29" s="14"/>
      <c r="N29" s="14"/>
    </row>
    <row r="30" spans="1:14" ht="18.600000000000001" customHeight="1" x14ac:dyDescent="0.25">
      <c r="B30" s="56" t="s">
        <v>40</v>
      </c>
      <c r="C30" s="66" t="b">
        <v>0</v>
      </c>
      <c r="D30" s="28"/>
      <c r="E30" s="75"/>
      <c r="F30" s="13"/>
      <c r="G30" s="14"/>
      <c r="H30" s="14"/>
      <c r="I30" s="14"/>
      <c r="J30" s="14"/>
      <c r="K30" s="14"/>
      <c r="L30" s="14"/>
      <c r="M30" s="14"/>
      <c r="N30" s="14"/>
    </row>
    <row r="31" spans="1:14" ht="18.600000000000001" customHeight="1" x14ac:dyDescent="0.25">
      <c r="B31" s="57" t="s">
        <v>39</v>
      </c>
      <c r="C31" s="49" t="b">
        <v>0</v>
      </c>
      <c r="D31" s="30">
        <f>IF($J$19="Tilladt",IF(C35&gt;0,0,IF(C31=TRUE,0,$D$19*F31)),IF(C35&gt;0,0,IF(CH1=TRUE,0,$D$19*F31)))</f>
        <v>0</v>
      </c>
      <c r="E31" s="75"/>
      <c r="F31" s="13">
        <f>VLOOKUP($C$11,Data,7,FALSE)</f>
        <v>0.13900000000000001</v>
      </c>
      <c r="H31" s="44" t="b">
        <f>VLOOKUP($C$11,Data,16,FALSE)</f>
        <v>0</v>
      </c>
      <c r="I31" s="14"/>
      <c r="J31" s="14"/>
      <c r="K31" s="14"/>
      <c r="L31" s="14"/>
      <c r="M31" s="14"/>
      <c r="N31" s="14"/>
    </row>
    <row r="32" spans="1:14" ht="15.6" customHeight="1" x14ac:dyDescent="0.25">
      <c r="B32" s="60" t="str">
        <f>"jf. STOKen ~ " &amp; TEXT(F31,"0,00%")</f>
        <v>jf. STOKen ~ 13,90%</v>
      </c>
      <c r="C32" s="65" t="b">
        <v>0</v>
      </c>
      <c r="D32" s="27"/>
      <c r="E32" s="75"/>
      <c r="F32" s="13"/>
      <c r="G32" s="14"/>
      <c r="H32" s="14"/>
      <c r="I32" s="14"/>
      <c r="J32" s="14"/>
      <c r="K32" s="14"/>
      <c r="L32" s="14"/>
      <c r="M32" s="14"/>
      <c r="N32" s="14"/>
    </row>
    <row r="33" spans="1:14" ht="18.600000000000001" customHeight="1" x14ac:dyDescent="0.25">
      <c r="B33" s="59" t="s">
        <v>13</v>
      </c>
      <c r="C33" s="40"/>
      <c r="D33" s="41"/>
      <c r="E33" s="75"/>
      <c r="F33" s="13"/>
      <c r="G33" s="14"/>
      <c r="H33" s="14"/>
      <c r="I33" s="14"/>
      <c r="J33" s="14"/>
      <c r="K33" s="14"/>
      <c r="L33" s="14"/>
      <c r="M33" s="14"/>
      <c r="N33" s="14"/>
    </row>
    <row r="34" spans="1:14" ht="18.600000000000001" customHeight="1" x14ac:dyDescent="0.25">
      <c r="B34" s="56" t="s">
        <v>41</v>
      </c>
      <c r="C34" s="67"/>
      <c r="D34" s="32"/>
      <c r="E34" s="75"/>
      <c r="F34" s="13"/>
      <c r="G34" s="14"/>
      <c r="H34" s="14"/>
      <c r="I34" s="14"/>
      <c r="J34" s="14"/>
      <c r="K34" s="14"/>
      <c r="L34" s="14"/>
      <c r="M34" s="14"/>
      <c r="N34" s="14"/>
    </row>
    <row r="35" spans="1:14" ht="30" x14ac:dyDescent="0.25">
      <c r="B35" s="57" t="str">
        <f>"Hvis arbejdsgivers pensionsbidrag nedsættes X-pct., skal du taste nedsættelsen. Dvs. hvis arbejdsgivers pensionsbidrag fx nedsættes " &amp; TEXT(G35,"0,00%") &amp; ", så taster du " &amp; TEXT(G35,"0,00%")</f>
        <v>Hvis arbejdsgivers pensionsbidrag nedsættes X-pct., skal du taste nedsættelsen. Dvs. hvis arbejdsgivers pensionsbidrag fx nedsættes 0,65%, så taster du 0,65%</v>
      </c>
      <c r="C35" s="51">
        <f>F35</f>
        <v>6.4999999999999997E-3</v>
      </c>
      <c r="D35" s="32">
        <f>IF($J$19="Tilladt",IF(C31=TRUE,0,$D$19*(C35)),IF(H31=TRUE,0,$D$19*(C35)))</f>
        <v>514.79999999999995</v>
      </c>
      <c r="E35" s="75"/>
      <c r="F35" s="42">
        <f>VLOOKUP($C$11,Data,8,FALSE)</f>
        <v>6.4999999999999997E-3</v>
      </c>
      <c r="G35" s="43">
        <f>IF(F35=0,0.5%,F35)</f>
        <v>6.4999999999999997E-3</v>
      </c>
      <c r="H35" s="14"/>
      <c r="I35" s="14"/>
      <c r="J35" s="14"/>
      <c r="K35" s="14"/>
      <c r="L35" s="14"/>
      <c r="M35" s="14"/>
      <c r="N35" s="14"/>
    </row>
    <row r="36" spans="1:14" ht="15.6" customHeight="1" x14ac:dyDescent="0.25">
      <c r="B36" s="57"/>
      <c r="C36" s="68"/>
      <c r="D36" s="27"/>
      <c r="E36" s="75"/>
      <c r="F36" s="13"/>
      <c r="G36" s="14"/>
      <c r="H36" s="14"/>
      <c r="I36" s="14"/>
      <c r="J36" s="14"/>
      <c r="K36" s="14"/>
      <c r="L36" s="14"/>
      <c r="M36" s="14"/>
      <c r="N36" s="14"/>
    </row>
    <row r="37" spans="1:14" ht="18.600000000000001" customHeight="1" x14ac:dyDescent="0.25">
      <c r="B37" s="55" t="s">
        <v>14</v>
      </c>
      <c r="C37" s="47"/>
      <c r="D37" s="39"/>
      <c r="E37" s="75"/>
      <c r="G37" s="14"/>
      <c r="H37" s="14"/>
      <c r="I37" s="14"/>
      <c r="J37" s="14"/>
      <c r="K37" s="14"/>
      <c r="L37" s="14"/>
      <c r="M37" s="14"/>
      <c r="N37" s="14"/>
    </row>
    <row r="38" spans="1:14" ht="18.600000000000001" customHeight="1" x14ac:dyDescent="0.25">
      <c r="B38" s="56" t="s">
        <v>15</v>
      </c>
      <c r="C38" s="66" t="b">
        <v>0</v>
      </c>
      <c r="D38" s="30"/>
      <c r="E38" s="75"/>
      <c r="F38" s="13"/>
      <c r="G38" s="14"/>
      <c r="H38" s="14"/>
      <c r="I38" s="14"/>
      <c r="J38" s="14"/>
      <c r="K38" s="14"/>
      <c r="L38" s="14"/>
      <c r="M38" s="14"/>
      <c r="N38" s="14"/>
    </row>
    <row r="39" spans="1:14" ht="18.600000000000001" customHeight="1" x14ac:dyDescent="0.25">
      <c r="B39" s="57" t="str">
        <f>"Sæt kryds hvis du har ret til særligt ferietillæg på " &amp; TEXT(G39,"0,00%.")</f>
        <v>Sæt kryds hvis du har ret til særligt ferietillæg på 3,75%.</v>
      </c>
      <c r="C39" s="49" t="b">
        <v>0</v>
      </c>
      <c r="D39" s="30">
        <f>IF($J$19="Tilladt",IF(C39=TRUE,0,$D$19*F39),IF(H39=TRUE,0,$D$19*F39))</f>
        <v>2178</v>
      </c>
      <c r="E39" s="75"/>
      <c r="F39" s="13">
        <f>VLOOKUP($C$11,Data,9,FALSE)</f>
        <v>2.75E-2</v>
      </c>
      <c r="G39" s="13">
        <f>F39+1%</f>
        <v>3.7499999999999999E-2</v>
      </c>
      <c r="H39" s="44" t="b">
        <f>VLOOKUP($C$11,Data,17,FALSE)</f>
        <v>0</v>
      </c>
      <c r="I39" s="14"/>
      <c r="J39" s="14"/>
      <c r="K39" s="14"/>
      <c r="L39" s="14"/>
      <c r="M39" s="14"/>
      <c r="N39" s="14"/>
    </row>
    <row r="40" spans="1:14" ht="15.6" customHeight="1" x14ac:dyDescent="0.25">
      <c r="B40" s="58" t="str">
        <f>"Værdien af det særlige ferietillæg er " &amp; TEXT(F39,"0,00%")  &amp; " hvis det inkluderes i din månedsløn, fordi du fortsat får udbetalt 1,00% årligt i ferietillæg jf. ferieloven."</f>
        <v>Værdien af det særlige ferietillæg er 2,75% hvis det inkluderes i din månedsløn, fordi du fortsat får udbetalt 1,00% årligt i ferietillæg jf. ferieloven.</v>
      </c>
      <c r="C40" s="65" t="b">
        <v>0</v>
      </c>
      <c r="D40" s="27"/>
      <c r="E40" s="75"/>
      <c r="F40" s="13"/>
      <c r="G40" s="14"/>
      <c r="H40" s="14"/>
      <c r="I40" s="14"/>
      <c r="J40" s="14"/>
      <c r="K40" s="14"/>
      <c r="L40" s="14"/>
      <c r="M40" s="14"/>
      <c r="N40" s="14"/>
    </row>
    <row r="41" spans="1:14" ht="18.600000000000001" customHeight="1" x14ac:dyDescent="0.25">
      <c r="B41" s="53" t="s">
        <v>17</v>
      </c>
      <c r="C41" s="47"/>
      <c r="D41" s="39"/>
      <c r="E41" s="75"/>
      <c r="G41" s="16"/>
      <c r="H41" s="16"/>
      <c r="I41" s="16"/>
      <c r="J41" s="16"/>
      <c r="K41" s="16"/>
      <c r="L41" s="16"/>
      <c r="M41" s="16"/>
      <c r="N41" s="16"/>
    </row>
    <row r="42" spans="1:14" ht="18.600000000000001" customHeight="1" x14ac:dyDescent="0.25">
      <c r="B42" s="54" t="s">
        <v>16</v>
      </c>
      <c r="C42" s="66" t="b">
        <v>0</v>
      </c>
      <c r="D42" s="30"/>
      <c r="E42" s="75"/>
      <c r="F42" s="15"/>
      <c r="G42" s="16"/>
      <c r="H42" s="16"/>
      <c r="I42" s="16"/>
      <c r="J42" s="16"/>
      <c r="K42" s="16"/>
      <c r="L42" s="16"/>
      <c r="M42" s="16"/>
      <c r="N42" s="16"/>
    </row>
    <row r="43" spans="1:14" ht="18.600000000000001" customHeight="1" x14ac:dyDescent="0.25">
      <c r="B43" s="52" t="s">
        <v>42</v>
      </c>
      <c r="C43" s="49" t="b">
        <v>0</v>
      </c>
      <c r="D43" s="30">
        <f>IF($J$19="Tilladt",IF(C43=TRUE,0,$D$19*F43),IF(H43=TRUE,0,$D$19*F43))</f>
        <v>0</v>
      </c>
      <c r="E43" s="75"/>
      <c r="F43" s="15">
        <f>VLOOKUP($C$11,Data,10,FALSE)</f>
        <v>5.2900000000000004E-3</v>
      </c>
      <c r="G43" s="16"/>
      <c r="H43" s="77" t="b">
        <f>VLOOKUP($C$11,Data,18,FALSE)</f>
        <v>1</v>
      </c>
      <c r="I43" s="16"/>
      <c r="J43" s="16"/>
      <c r="K43" s="16"/>
      <c r="L43" s="16"/>
      <c r="M43" s="16"/>
      <c r="N43" s="16"/>
    </row>
    <row r="44" spans="1:14" ht="23.25" x14ac:dyDescent="0.25">
      <c r="B44" s="99" t="str">
        <f>"Værdien af kompensationen for St. Bededag beregnes af (samlet månedsløn inkl. eget pensionsbidrag + arbejdsgivers pensionsbidrag + særligt ferietillæg (" &amp; TEXT(G39,"0,00%") &amp; ") ~ " &amp; TEXT(F43,"0,000%")</f>
        <v>Værdien af kompensationen for St. Bededag beregnes af (samlet månedsløn inkl. eget pensionsbidrag + arbejdsgivers pensionsbidrag + særligt ferietillæg (3,75%) ~ 0,529%</v>
      </c>
      <c r="C44" s="66" t="b">
        <v>1</v>
      </c>
      <c r="D44" s="30"/>
      <c r="E44" s="75"/>
      <c r="F44" s="15"/>
      <c r="G44" s="16"/>
      <c r="H44" s="16"/>
      <c r="I44" s="16"/>
      <c r="J44" s="16"/>
      <c r="K44" s="16"/>
      <c r="L44" s="16"/>
      <c r="M44" s="16"/>
      <c r="N44" s="16"/>
    </row>
    <row r="45" spans="1:14" ht="18.600000000000001" customHeight="1" x14ac:dyDescent="0.25">
      <c r="B45" s="53" t="s">
        <v>18</v>
      </c>
      <c r="C45" s="101"/>
      <c r="D45" s="100"/>
      <c r="E45" s="75"/>
      <c r="F45" s="15"/>
      <c r="G45" s="16"/>
      <c r="H45" s="16"/>
      <c r="I45" s="16"/>
      <c r="J45" s="16"/>
      <c r="K45" s="16"/>
      <c r="L45" s="16"/>
      <c r="M45" s="16"/>
      <c r="N45" s="16"/>
    </row>
    <row r="46" spans="1:14" s="10" customFormat="1" ht="18.600000000000001" customHeight="1" x14ac:dyDescent="0.25">
      <c r="A46" s="11"/>
      <c r="B46" s="126" t="str">
        <f>IF($B$2="Standardoverenskomsten (STOKen)",'Konstante variabler'!C27,'Konstante variabler'!C28) &amp; " løngrænse for ansættelse på individuel kontrakt" &amp; IF($B$2="Standardoverenskomsten (STOKen)"," i din virksomhed","") &amp; " (brutto)"</f>
        <v>Virksomhedsoverenskomstens løngrænse for ansættelse på individuel kontrakt (brutto)</v>
      </c>
      <c r="C46" s="127"/>
      <c r="D46" s="106">
        <f>SUM(D19:D43)</f>
        <v>83465.141759999999</v>
      </c>
      <c r="E46" s="103"/>
      <c r="F46" s="104">
        <f>VLOOKUP($C$11,Data,10+F14,FALSE)</f>
        <v>83884</v>
      </c>
      <c r="G46" s="105"/>
    </row>
    <row r="47" spans="1:14" s="10" customFormat="1" ht="15.6" customHeight="1" thickBot="1" x14ac:dyDescent="0.3">
      <c r="A47" s="11"/>
      <c r="B47" s="109"/>
      <c r="C47" s="110"/>
      <c r="D47" s="102"/>
      <c r="E47" s="103"/>
      <c r="F47" s="104"/>
      <c r="G47" s="105"/>
    </row>
    <row r="48" spans="1:14" ht="44.1" customHeight="1" x14ac:dyDescent="0.25">
      <c r="B48" s="107" t="s">
        <v>31</v>
      </c>
      <c r="C48" s="108"/>
      <c r="D48" s="111">
        <v>0</v>
      </c>
      <c r="E48" s="78"/>
      <c r="F48" s="18"/>
      <c r="G48" s="17"/>
    </row>
    <row r="49" spans="2:5" ht="18.600000000000001" customHeight="1" thickBot="1" x14ac:dyDescent="0.3">
      <c r="B49" s="128" t="str">
        <f>IF($D$48=0,"", IF(D49&gt;=0,"Din månedsløn er højere end " &amp; IF($B$2="Standardoverenskomsten (STOKen)",'Konstante variabler'!B27,'Konstante variabler'!B28) &amp; " løngrænse for kontraktansatte","Din månedsløn er lavere end " &amp; IF($B$2="Standardoverenskomsten (STOKen)",'Konstante variabler'!B27,'Konstante variabler'!B28) &amp; " løngrænse for kontraktansatte"))</f>
        <v/>
      </c>
      <c r="C49" s="129"/>
      <c r="D49" s="19">
        <f>IF($D$48=0,0, D48-D46)</f>
        <v>0</v>
      </c>
      <c r="E49" s="20"/>
    </row>
    <row r="50" spans="2:5" ht="18.600000000000001" customHeight="1" x14ac:dyDescent="0.25">
      <c r="B50" s="130" t="str">
        <f>IF(D49&lt;0,"Det betyder følgende:","Der er intet at bemærke.")</f>
        <v>Der er intet at bemærke.</v>
      </c>
      <c r="C50" s="131"/>
      <c r="D50" s="132"/>
    </row>
    <row r="51" spans="2:5" ht="18.600000000000001" customHeight="1" x14ac:dyDescent="0.25">
      <c r="B51" s="133" t="str">
        <f>IF(D49&lt;0,"•      Du skal IKKE være ansat på kontrakt.","" )</f>
        <v/>
      </c>
      <c r="C51" s="134"/>
      <c r="D51" s="135"/>
    </row>
    <row r="52" spans="2:5" ht="32.1" customHeight="1" x14ac:dyDescent="0.25">
      <c r="B52" s="136" t="str">
        <f>IF(D49&lt;0,"•      Din arbejdsgiver skal enten hæve din månedsløn, så den kommer over grænsen, ellers skal du omfattes af alle " &amp; IF($B$2="Standardoverenskomsten (STOKen)",'Konstante variabler'!B27,'Konstante variabler'!B28) &amp; " vilkår ligesom de" &amp; CHAR(10) &amp;  "        øvrige medarbejdere.","" )</f>
        <v/>
      </c>
      <c r="C52" s="137"/>
      <c r="D52" s="138"/>
    </row>
    <row r="53" spans="2:5" ht="18.600000000000001" customHeight="1" thickBot="1" x14ac:dyDescent="0.3">
      <c r="B53" s="121" t="str">
        <f>IF(D49&lt;0,"•      Du kan have penge til gode – derfor er det vigtigt, at du kontakter Finansforbundet.","")</f>
        <v/>
      </c>
      <c r="C53" s="122"/>
      <c r="D53" s="123"/>
    </row>
    <row r="54" spans="2:5" ht="15" x14ac:dyDescent="0.25">
      <c r="B54" s="21" t="s">
        <v>58</v>
      </c>
      <c r="D54" s="9"/>
    </row>
  </sheetData>
  <sheetProtection algorithmName="SHA-512" hashValue="rFL01jjr4XRt48V9KHG8H7ci24J4vLxE2zafmBJ5eUX15dKqeSFZ1P/EZfGlmU8a4CoJG9ak4FSTO+4F5z3y/w==" saltValue="dCh95/U3DHPX579zyKVYvw==" spinCount="100000" sheet="1" selectLockedCells="1"/>
  <mergeCells count="14">
    <mergeCell ref="B3:D3"/>
    <mergeCell ref="B4:D4"/>
    <mergeCell ref="B5:D5"/>
    <mergeCell ref="B6:D6"/>
    <mergeCell ref="B7:D7"/>
    <mergeCell ref="B8:D8"/>
    <mergeCell ref="B13:C13"/>
    <mergeCell ref="B53:D53"/>
    <mergeCell ref="B18:C18"/>
    <mergeCell ref="B46:C46"/>
    <mergeCell ref="B49:C49"/>
    <mergeCell ref="B50:D50"/>
    <mergeCell ref="B51:D51"/>
    <mergeCell ref="B52:D52"/>
  </mergeCells>
  <phoneticPr fontId="21" type="noConversion"/>
  <conditionalFormatting sqref="B49 D49:E49">
    <cfRule type="expression" dxfId="2" priority="1">
      <formula>$D$49=0</formula>
    </cfRule>
    <cfRule type="expression" dxfId="1" priority="4">
      <formula>$D$49&lt;0</formula>
    </cfRule>
    <cfRule type="expression" dxfId="0" priority="5">
      <formula>AND($D$19 &gt;0,$D$49&gt;0)</formula>
    </cfRule>
  </conditionalFormatting>
  <dataValidations count="18">
    <dataValidation type="textLength" allowBlank="1" showInputMessage="1" showErrorMessage="1" errorTitle="Info" error="Du kan ikke taste i dette felt" sqref="E48" xr:uid="{D51B1107-FF91-4C4A-9343-090F82739BF1}">
      <formula1>0</formula1>
      <formula2>0</formula2>
    </dataValidation>
    <dataValidation type="textLength" allowBlank="1" showInputMessage="1" showErrorMessage="1" errorTitle="Info" error="Du kan ikke taste i dette felt" promptTitle="Info" prompt="Brug musen eller tabulatortasten til at bevæge dig imellem rubrikkerne._x000a__x000a_Du kan sætte kryds med musen eller vha mellemrumstasten." sqref="E3" xr:uid="{8F7EA52E-5BA5-4878-AF6E-8D22D14900A3}">
      <formula1>0</formula1>
      <formula2>0</formula2>
    </dataValidation>
    <dataValidation type="whole" allowBlank="1" showInputMessage="1" showErrorMessage="1" errorTitle="Indtast et positivt tal" error="Tallet skal ligge i intervallet 0 - 500.000" promptTitle="INDTAST - samlet månedsløn" prompt="Indtast din seneste månedsløn inkl. eget pensionsbidrag" sqref="D48" xr:uid="{7F101DF9-A533-4F9E-9643-DE58D9CA16E7}">
      <formula1>0</formula1>
      <formula2>500000</formula2>
    </dataValidation>
    <dataValidation type="textLength" allowBlank="1" showInputMessage="1" showErrorMessage="1" sqref="E49 C48" xr:uid="{3A6879E7-D49D-4BA5-AF96-983317FF4AAF}">
      <formula1>0</formula1>
      <formula2>0</formula2>
    </dataValidation>
    <dataValidation type="list" allowBlank="1" showErrorMessage="1" promptTitle="Vælg årstal" prompt="Vælg det årstal du vil lave en beregning for" sqref="C15" xr:uid="{23346C08-E863-4D58-ACF5-D15DFFB16787}">
      <formula1>ÅrstalListe</formula1>
    </dataValidation>
    <dataValidation type="list" allowBlank="1" showInputMessage="1" showErrorMessage="1" sqref="C12" xr:uid="{1431115A-346D-49A7-8BC0-40E6AF6BFD25}">
      <formula1>Overenskomster</formula1>
    </dataValidation>
    <dataValidation type="decimal" allowBlank="1" showInputMessage="1" showErrorMessage="1" promptTitle="Reduceret arbejdsgivers pensions" prompt="Hvis arbejdsgivers pensionsbidrag nedsættes skal du udfylde dette felt." sqref="C34 C36" xr:uid="{9788FF26-A3FA-433A-BB38-4C9573A94F51}">
      <formula1>0</formula1>
      <formula2>0.1165</formula2>
    </dataValidation>
    <dataValidation allowBlank="1" showInputMessage="1" showErrorMessage="1" promptTitle="Særligt ferietillæg" prompt="Sæt kryds hvis du har ret til særligt ferietillæg" sqref="C38 C40" xr:uid="{E0195123-F928-4317-B44D-CDA42564756B}"/>
    <dataValidation allowBlank="1" showInputMessage="1" showErrorMessage="1" promptTitle="Kompensation St. Bededag" prompt="Sæt kryds hvis du har ret til kompensation - dvs. kompensationen ikke er inkluderet i din løn" sqref="C42 C44:C45" xr:uid="{577C88E8-8A70-4C2E-B707-9868EC6B80AE}"/>
    <dataValidation allowBlank="1" showInputMessage="1" showErrorMessage="1" promptTitle="Arbejdsgivers pensionsbidrag" prompt="Sæt kryds hvis du fastholder uændret arbejdsgivers pensionsbidrag" sqref="C30 C32" xr:uid="{C4E89844-A944-4C57-BF2D-0022A6740AB9}"/>
    <dataValidation allowBlank="1" showInputMessage="1" showErrorMessage="1" promptTitle="6. ferieuge" prompt="Sæt kryds hvis du har ret til 5 overenskomstbetalte feriedage med løn pr. år" sqref="C26 C28" xr:uid="{FC05B468-232B-4286-A35A-C7A3630E42E0}"/>
    <dataValidation type="list" allowBlank="1" showErrorMessage="1" promptTitle="Vælg overenskomst" prompt="Vælg den overenskomst du er omfattet af_x000a_" sqref="C11" xr:uid="{29C0199C-31EB-4827-A2F2-A3680E204F5B}">
      <formula1>Overenskomster</formula1>
    </dataValidation>
    <dataValidation allowBlank="1" showErrorMessage="1" promptTitle="6. ferieuge" prompt="Sæt kryds hvis du har ret til 5 overenskomstbetalte feriedage med løn pr. år" sqref="C27" xr:uid="{637A51C8-E8B9-48BE-A952-7E4E02EC89F5}"/>
    <dataValidation allowBlank="1" showErrorMessage="1" promptTitle="Arbejdsgivers pensionsbidrag" prompt="Sæt kryds hvis du fastholder uændret arbejdsgivers pensionsbidrag" sqref="C31" xr:uid="{EB698BCC-233C-4177-BEB5-19BA8AF11925}"/>
    <dataValidation type="decimal" allowBlank="1" showErrorMessage="1" promptTitle="Reduceret arbejdsgivers pensions" prompt="Hvis arbejdsgivers pensionsbidrag nedsættes skal du udfylde dette felt." sqref="C35" xr:uid="{D0E9E5D4-70B4-44AF-8C17-F5C1B834A09B}">
      <formula1>0</formula1>
      <formula2>0.1165</formula2>
    </dataValidation>
    <dataValidation allowBlank="1" showErrorMessage="1" promptTitle="Særligt ferietillæg" prompt="Sæt kryds hvis du har ret til særligt ferietillæg" sqref="C39" xr:uid="{F102439F-09CC-47D1-B6E4-46B25588BED1}"/>
    <dataValidation allowBlank="1" showErrorMessage="1" promptTitle="Kompensation St. Bededag" prompt="Sæt kryds hvis du har ret til kompensation - dvs. kompensationen ikke er inkluderet i din løn" sqref="C43" xr:uid="{AA4B7D1F-EE2A-47DE-9861-90A74BED1C7E}"/>
    <dataValidation type="custom" allowBlank="1" showInputMessage="1" showErrorMessage="1" sqref="J20" xr:uid="{5F620E89-4C5B-4627-A26B-089FAF87DF86}">
      <formula1>J19="Tilladt"</formula1>
    </dataValidation>
  </dataValidations>
  <printOptions horizontalCentered="1"/>
  <pageMargins left="0.23622047244094491" right="0.23622047244094491" top="0.94488188976377963" bottom="0.15748031496062992" header="0.31496062992125984" footer="0.31496062992125984"/>
  <pageSetup paperSize="9" scale="76" orientation="portrait" r:id="rId1"/>
  <headerFooter>
    <oddHeader>&amp;L&amp;G&amp;R&amp;"-,Kursiv"&amp;8&amp;A side &amp;P af &amp;N udskrevet den &amp;D</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2</xdr:col>
                    <xdr:colOff>257175</xdr:colOff>
                    <xdr:row>21</xdr:row>
                    <xdr:rowOff>76200</xdr:rowOff>
                  </from>
                  <to>
                    <xdr:col>2</xdr:col>
                    <xdr:colOff>676275</xdr:colOff>
                    <xdr:row>23</xdr:row>
                    <xdr:rowOff>171450</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2</xdr:col>
                    <xdr:colOff>257175</xdr:colOff>
                    <xdr:row>25</xdr:row>
                    <xdr:rowOff>28575</xdr:rowOff>
                  </from>
                  <to>
                    <xdr:col>2</xdr:col>
                    <xdr:colOff>676275</xdr:colOff>
                    <xdr:row>28</xdr:row>
                    <xdr:rowOff>0</xdr:rowOff>
                  </to>
                </anchor>
              </controlPr>
            </control>
          </mc:Choice>
        </mc:AlternateContent>
        <mc:AlternateContent xmlns:mc="http://schemas.openxmlformats.org/markup-compatibility/2006">
          <mc:Choice Requires="x14">
            <control shapeId="2051" r:id="rId7" name="Check Box 3">
              <controlPr defaultSize="0" autoFill="0" autoLine="0" autoPict="0" altText="">
                <anchor moveWithCells="1">
                  <from>
                    <xdr:col>2</xdr:col>
                    <xdr:colOff>257175</xdr:colOff>
                    <xdr:row>29</xdr:row>
                    <xdr:rowOff>0</xdr:rowOff>
                  </from>
                  <to>
                    <xdr:col>2</xdr:col>
                    <xdr:colOff>676275</xdr:colOff>
                    <xdr:row>32</xdr:row>
                    <xdr:rowOff>38100</xdr:rowOff>
                  </to>
                </anchor>
              </controlPr>
            </control>
          </mc:Choice>
        </mc:AlternateContent>
        <mc:AlternateContent xmlns:mc="http://schemas.openxmlformats.org/markup-compatibility/2006">
          <mc:Choice Requires="x14">
            <control shapeId="2052" r:id="rId8" name="Check Box 4">
              <controlPr defaultSize="0" autoFill="0" autoLine="0" autoPict="0">
                <anchor moveWithCells="1">
                  <from>
                    <xdr:col>2</xdr:col>
                    <xdr:colOff>219075</xdr:colOff>
                    <xdr:row>37</xdr:row>
                    <xdr:rowOff>28575</xdr:rowOff>
                  </from>
                  <to>
                    <xdr:col>2</xdr:col>
                    <xdr:colOff>676275</xdr:colOff>
                    <xdr:row>40</xdr:row>
                    <xdr:rowOff>38100</xdr:rowOff>
                  </to>
                </anchor>
              </controlPr>
            </control>
          </mc:Choice>
        </mc:AlternateContent>
        <mc:AlternateContent xmlns:mc="http://schemas.openxmlformats.org/markup-compatibility/2006">
          <mc:Choice Requires="x14">
            <control shapeId="2053" r:id="rId9" name="Check Box 5">
              <controlPr defaultSize="0" autoFill="0" autoLine="0" autoPict="0">
                <anchor moveWithCells="1">
                  <from>
                    <xdr:col>2</xdr:col>
                    <xdr:colOff>238125</xdr:colOff>
                    <xdr:row>41</xdr:row>
                    <xdr:rowOff>9525</xdr:rowOff>
                  </from>
                  <to>
                    <xdr:col>2</xdr:col>
                    <xdr:colOff>676275</xdr:colOff>
                    <xdr:row>44</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6332E-B36A-4B0F-8560-3519D1CA195A}">
  <dimension ref="A1:S28"/>
  <sheetViews>
    <sheetView zoomScale="89" zoomScaleNormal="89" workbookViewId="0">
      <selection activeCell="E18" sqref="E18"/>
    </sheetView>
  </sheetViews>
  <sheetFormatPr defaultRowHeight="15" x14ac:dyDescent="0.25"/>
  <cols>
    <col min="1" max="1" width="30.85546875" customWidth="1"/>
    <col min="2" max="4" width="16.7109375" customWidth="1"/>
    <col min="5" max="5" width="12.85546875" customWidth="1"/>
    <col min="6" max="6" width="10.85546875" customWidth="1"/>
    <col min="7" max="7" width="14.140625" customWidth="1"/>
    <col min="8" max="8" width="15.42578125" customWidth="1"/>
    <col min="9" max="9" width="11.42578125" customWidth="1"/>
    <col min="10" max="10" width="14.28515625" customWidth="1"/>
    <col min="11" max="11" width="14.140625" customWidth="1"/>
    <col min="12" max="12" width="13.5703125" customWidth="1"/>
    <col min="13" max="13" width="13.85546875" customWidth="1"/>
    <col min="19" max="19" width="16.5703125" customWidth="1"/>
  </cols>
  <sheetData>
    <row r="1" spans="1:19" ht="72" customHeight="1" x14ac:dyDescent="0.25">
      <c r="A1" s="1" t="s">
        <v>0</v>
      </c>
      <c r="B1" s="2" t="s">
        <v>1</v>
      </c>
      <c r="C1" s="2" t="s">
        <v>59</v>
      </c>
      <c r="D1" s="2" t="s">
        <v>2</v>
      </c>
      <c r="E1" s="2" t="s">
        <v>6</v>
      </c>
      <c r="F1" s="2" t="s">
        <v>9</v>
      </c>
      <c r="G1" s="2" t="s">
        <v>11</v>
      </c>
      <c r="H1" s="2" t="s">
        <v>12</v>
      </c>
      <c r="I1" s="2" t="s">
        <v>15</v>
      </c>
      <c r="J1" s="2" t="s">
        <v>16</v>
      </c>
      <c r="K1" s="2" t="s">
        <v>22</v>
      </c>
      <c r="L1" s="2" t="s">
        <v>23</v>
      </c>
      <c r="M1" s="2" t="s">
        <v>24</v>
      </c>
      <c r="N1" s="142" t="s">
        <v>45</v>
      </c>
      <c r="O1" s="142"/>
      <c r="P1" s="142"/>
      <c r="Q1" s="142"/>
      <c r="R1" s="142"/>
      <c r="S1" s="2" t="s">
        <v>55</v>
      </c>
    </row>
    <row r="2" spans="1:19" x14ac:dyDescent="0.25">
      <c r="A2" s="3" t="s">
        <v>3</v>
      </c>
      <c r="B2" s="3" t="s">
        <v>5</v>
      </c>
      <c r="C2" s="3" t="s">
        <v>5</v>
      </c>
      <c r="D2" s="3" t="s">
        <v>5</v>
      </c>
      <c r="E2" s="3" t="s">
        <v>7</v>
      </c>
      <c r="F2" s="3" t="s">
        <v>8</v>
      </c>
      <c r="G2" s="3" t="s">
        <v>10</v>
      </c>
      <c r="H2" s="3" t="s">
        <v>13</v>
      </c>
      <c r="I2" s="3" t="s">
        <v>14</v>
      </c>
      <c r="J2" s="3" t="s">
        <v>17</v>
      </c>
      <c r="K2" s="3" t="s">
        <v>18</v>
      </c>
      <c r="L2" s="3" t="s">
        <v>18</v>
      </c>
      <c r="M2" s="3" t="s">
        <v>18</v>
      </c>
      <c r="N2" s="45" t="s">
        <v>7</v>
      </c>
      <c r="O2" s="45" t="s">
        <v>8</v>
      </c>
      <c r="P2" s="45" t="s">
        <v>43</v>
      </c>
      <c r="Q2" s="45" t="s">
        <v>14</v>
      </c>
      <c r="R2" s="45" t="s">
        <v>17</v>
      </c>
    </row>
    <row r="3" spans="1:19" x14ac:dyDescent="0.25">
      <c r="A3" t="s">
        <v>19</v>
      </c>
      <c r="B3" s="4">
        <v>79200</v>
      </c>
      <c r="C3" s="4">
        <v>81200</v>
      </c>
      <c r="D3" s="4">
        <v>83250</v>
      </c>
      <c r="E3" s="5">
        <v>2.1870000000000001E-2</v>
      </c>
      <c r="F3" s="5">
        <v>2.1870000000000001E-2</v>
      </c>
      <c r="G3" s="5">
        <v>0.11650000000000001</v>
      </c>
      <c r="I3" s="5">
        <v>2.2499999999999999E-2</v>
      </c>
      <c r="J3" s="5">
        <v>5.1700000000000001E-3</v>
      </c>
      <c r="N3" t="b">
        <v>0</v>
      </c>
      <c r="O3" t="b">
        <v>0</v>
      </c>
      <c r="P3" t="b">
        <v>0</v>
      </c>
      <c r="Q3" t="b">
        <v>0</v>
      </c>
      <c r="R3" t="b">
        <v>0</v>
      </c>
      <c r="S3" t="s">
        <v>56</v>
      </c>
    </row>
    <row r="4" spans="1:19" x14ac:dyDescent="0.25">
      <c r="A4" t="s">
        <v>20</v>
      </c>
      <c r="B4" s="4">
        <v>79200</v>
      </c>
      <c r="C4" s="4">
        <v>81200</v>
      </c>
      <c r="D4" s="4">
        <v>83250</v>
      </c>
      <c r="E4" s="5">
        <v>2.1870000000000001E-2</v>
      </c>
      <c r="F4" s="5">
        <v>2.1870000000000001E-2</v>
      </c>
      <c r="G4" s="5">
        <v>0.11650000000000001</v>
      </c>
      <c r="I4" s="5">
        <v>2.2499999999999999E-2</v>
      </c>
      <c r="J4" s="5">
        <v>5.1700000000000001E-3</v>
      </c>
      <c r="N4" t="b">
        <v>0</v>
      </c>
      <c r="O4" t="b">
        <v>0</v>
      </c>
      <c r="P4" t="b">
        <v>0</v>
      </c>
      <c r="Q4" t="b">
        <v>0</v>
      </c>
      <c r="R4" t="b">
        <v>0</v>
      </c>
      <c r="S4" t="s">
        <v>56</v>
      </c>
    </row>
    <row r="5" spans="1:19" x14ac:dyDescent="0.25">
      <c r="A5" t="s">
        <v>21</v>
      </c>
      <c r="B5" s="4">
        <v>79200</v>
      </c>
      <c r="C5" s="4">
        <v>81200</v>
      </c>
      <c r="D5" s="4">
        <v>83250</v>
      </c>
      <c r="E5" s="46">
        <v>1.9199999999999998E-2</v>
      </c>
      <c r="F5" s="46">
        <v>1.9199999999999998E-2</v>
      </c>
      <c r="G5" s="46">
        <v>0.13900000000000001</v>
      </c>
      <c r="H5" s="46">
        <v>6.4999999999999997E-3</v>
      </c>
      <c r="I5" s="5">
        <v>2.75E-2</v>
      </c>
      <c r="J5" s="5">
        <v>5.2900000000000004E-3</v>
      </c>
      <c r="K5" s="6">
        <v>83884</v>
      </c>
      <c r="L5" s="6">
        <v>86002</v>
      </c>
      <c r="M5" s="6">
        <v>87733</v>
      </c>
      <c r="N5" t="b">
        <v>0</v>
      </c>
      <c r="O5" t="b">
        <v>1</v>
      </c>
      <c r="P5" t="b">
        <v>0</v>
      </c>
      <c r="Q5" t="b">
        <v>0</v>
      </c>
      <c r="R5" t="b">
        <v>1</v>
      </c>
      <c r="S5" t="s">
        <v>57</v>
      </c>
    </row>
    <row r="6" spans="1:19" x14ac:dyDescent="0.25">
      <c r="A6" t="s">
        <v>25</v>
      </c>
      <c r="B6" s="4">
        <v>79200</v>
      </c>
      <c r="C6" s="4">
        <v>81200</v>
      </c>
      <c r="D6" s="4">
        <v>83250</v>
      </c>
      <c r="E6" s="7">
        <v>2.1909999999999999E-2</v>
      </c>
      <c r="F6" s="5">
        <v>2.1909999999999999E-2</v>
      </c>
      <c r="G6" s="5">
        <v>0.11849999999999999</v>
      </c>
      <c r="H6" s="5"/>
      <c r="I6" s="5">
        <v>2.2499999999999999E-2</v>
      </c>
      <c r="J6" s="5">
        <v>5.2100000000000002E-3</v>
      </c>
      <c r="N6" t="b">
        <v>0</v>
      </c>
      <c r="O6" t="b">
        <v>0</v>
      </c>
      <c r="P6" t="b">
        <v>0</v>
      </c>
      <c r="Q6" t="b">
        <v>0</v>
      </c>
      <c r="R6" t="b">
        <v>0</v>
      </c>
      <c r="S6" t="s">
        <v>56</v>
      </c>
    </row>
    <row r="7" spans="1:19" x14ac:dyDescent="0.25">
      <c r="A7" t="s">
        <v>27</v>
      </c>
      <c r="B7" s="4">
        <v>81010</v>
      </c>
      <c r="C7" s="4">
        <v>83035</v>
      </c>
      <c r="D7" s="4">
        <v>85110</v>
      </c>
      <c r="E7" s="5">
        <v>2.198E-2</v>
      </c>
      <c r="F7" s="5">
        <v>2.198E-2</v>
      </c>
      <c r="G7" s="5">
        <v>0.1198</v>
      </c>
      <c r="H7" s="5"/>
      <c r="I7" s="5">
        <v>2.5000000000000001E-2</v>
      </c>
      <c r="J7" s="5">
        <v>5.1999999999999998E-3</v>
      </c>
      <c r="N7" t="b">
        <v>0</v>
      </c>
      <c r="O7" t="b">
        <v>0</v>
      </c>
      <c r="P7" t="b">
        <v>0</v>
      </c>
      <c r="Q7" t="b">
        <v>0</v>
      </c>
      <c r="R7" t="b">
        <v>0</v>
      </c>
      <c r="S7" t="s">
        <v>56</v>
      </c>
    </row>
    <row r="8" spans="1:19" x14ac:dyDescent="0.25">
      <c r="A8" t="s">
        <v>26</v>
      </c>
      <c r="B8" s="4">
        <v>79200</v>
      </c>
      <c r="C8" s="4">
        <v>81200</v>
      </c>
      <c r="D8" s="4">
        <v>83250</v>
      </c>
      <c r="E8" s="5">
        <v>2.1870000000000001E-2</v>
      </c>
      <c r="F8" s="5">
        <v>2.1870000000000001E-2</v>
      </c>
      <c r="G8" s="5">
        <v>0.11650000000000001</v>
      </c>
      <c r="H8" s="5"/>
      <c r="I8" s="5">
        <v>2.2499999999999999E-2</v>
      </c>
      <c r="J8" s="5">
        <v>5.1700000000000001E-3</v>
      </c>
      <c r="N8" t="b">
        <v>0</v>
      </c>
      <c r="O8" t="b">
        <v>0</v>
      </c>
      <c r="P8" t="b">
        <v>0</v>
      </c>
      <c r="Q8" t="b">
        <v>0</v>
      </c>
      <c r="R8" t="b">
        <v>0</v>
      </c>
      <c r="S8" t="s">
        <v>56</v>
      </c>
    </row>
    <row r="9" spans="1:19" x14ac:dyDescent="0.25">
      <c r="A9" t="s">
        <v>46</v>
      </c>
      <c r="B9" s="4">
        <v>79200</v>
      </c>
      <c r="C9" s="4">
        <v>81200</v>
      </c>
      <c r="D9" s="4">
        <v>83250</v>
      </c>
      <c r="E9" s="5">
        <v>2.1870000000000001E-2</v>
      </c>
      <c r="F9" s="5">
        <v>2.1870000000000001E-2</v>
      </c>
      <c r="G9" s="5">
        <v>0.11650000000000001</v>
      </c>
      <c r="H9" s="5"/>
      <c r="I9" s="5">
        <v>2.2499999999999999E-2</v>
      </c>
      <c r="J9" s="5">
        <v>5.1700000000000001E-3</v>
      </c>
      <c r="N9" t="b">
        <v>0</v>
      </c>
      <c r="O9" t="b">
        <v>0</v>
      </c>
      <c r="P9" t="b">
        <v>0</v>
      </c>
      <c r="Q9" t="b">
        <v>0</v>
      </c>
      <c r="R9" t="b">
        <v>0</v>
      </c>
      <c r="S9" t="s">
        <v>56</v>
      </c>
    </row>
    <row r="18" spans="1:10" ht="15.75" thickBot="1" x14ac:dyDescent="0.3">
      <c r="G18" s="94"/>
    </row>
    <row r="19" spans="1:10" ht="15.75" thickBot="1" x14ac:dyDescent="0.3">
      <c r="A19" s="85" t="s">
        <v>36</v>
      </c>
      <c r="B19" s="86" t="s">
        <v>37</v>
      </c>
    </row>
    <row r="20" spans="1:10" x14ac:dyDescent="0.25">
      <c r="A20" s="82">
        <v>2025</v>
      </c>
      <c r="B20" s="28">
        <v>1</v>
      </c>
    </row>
    <row r="21" spans="1:10" x14ac:dyDescent="0.25">
      <c r="A21" s="82">
        <v>2026</v>
      </c>
      <c r="B21" s="28">
        <v>2</v>
      </c>
    </row>
    <row r="22" spans="1:10" ht="15.75" thickBot="1" x14ac:dyDescent="0.3">
      <c r="A22" s="83">
        <v>2027</v>
      </c>
      <c r="B22" s="84">
        <v>3</v>
      </c>
    </row>
    <row r="25" spans="1:10" ht="15.75" thickBot="1" x14ac:dyDescent="0.3"/>
    <row r="26" spans="1:10" ht="15.75" thickBot="1" x14ac:dyDescent="0.3">
      <c r="A26" s="85" t="s">
        <v>52</v>
      </c>
      <c r="B26" s="92"/>
      <c r="C26" s="93"/>
    </row>
    <row r="27" spans="1:10" ht="59.45" customHeight="1" x14ac:dyDescent="0.25">
      <c r="A27" s="87" t="s">
        <v>47</v>
      </c>
      <c r="B27" s="81" t="s">
        <v>48</v>
      </c>
      <c r="C27" s="88" t="s">
        <v>50</v>
      </c>
      <c r="D27" s="81"/>
      <c r="E27" s="81"/>
      <c r="F27" s="81"/>
      <c r="G27" s="81"/>
      <c r="H27" s="81"/>
      <c r="I27" s="81"/>
      <c r="J27" s="81"/>
    </row>
    <row r="28" spans="1:10" ht="44.1" customHeight="1" thickBot="1" x14ac:dyDescent="0.3">
      <c r="A28" s="89" t="s">
        <v>54</v>
      </c>
      <c r="B28" s="90" t="s">
        <v>49</v>
      </c>
      <c r="C28" s="91" t="s">
        <v>51</v>
      </c>
      <c r="D28" s="81"/>
      <c r="E28" s="81"/>
      <c r="F28" s="81"/>
      <c r="G28" s="81"/>
      <c r="H28" s="81"/>
      <c r="I28" s="81"/>
      <c r="J28" s="81"/>
    </row>
  </sheetData>
  <mergeCells count="1">
    <mergeCell ref="N1:R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99A107A0B21484993032AB7C22C7908" ma:contentTypeVersion="9" ma:contentTypeDescription="Opret et nyt dokument." ma:contentTypeScope="" ma:versionID="3ea71916df6b5bf0521851d1fd7d967c">
  <xsd:schema xmlns:xsd="http://www.w3.org/2001/XMLSchema" xmlns:xs="http://www.w3.org/2001/XMLSchema" xmlns:p="http://schemas.microsoft.com/office/2006/metadata/properties" xmlns:ns2="73f4482d-4bb9-4eac-81db-77d9c4a8f22c" targetNamespace="http://schemas.microsoft.com/office/2006/metadata/properties" ma:root="true" ma:fieldsID="6642448b27290bff25fa0ac04692cfc0" ns2:_="">
    <xsd:import namespace="73f4482d-4bb9-4eac-81db-77d9c4a8f22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f4482d-4bb9-4eac-81db-77d9c4a8f2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ledmærker" ma:readOnly="false" ma:fieldId="{5cf76f15-5ced-4ddc-b409-7134ff3c332f}" ma:taxonomyMulti="true" ma:sspId="bd4caa44-722c-46c1-a29e-828a9f31da7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3f4482d-4bb9-4eac-81db-77d9c4a8f22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AAC6CBA-82B6-44F2-BCF2-7A4228EDC78A}">
  <ds:schemaRefs>
    <ds:schemaRef ds:uri="http://schemas.microsoft.com/sharepoint/v3/contenttype/forms"/>
  </ds:schemaRefs>
</ds:datastoreItem>
</file>

<file path=customXml/itemProps2.xml><?xml version="1.0" encoding="utf-8"?>
<ds:datastoreItem xmlns:ds="http://schemas.openxmlformats.org/officeDocument/2006/customXml" ds:itemID="{6E26E36B-6E43-43A7-8EEA-3D54315EFB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f4482d-4bb9-4eac-81db-77d9c4a8f2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85C9E8-E766-49B0-8C3F-2E376B95CAF7}">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7e75597e-01bc-46bb-94df-5faafe1a80b9"/>
    <ds:schemaRef ds:uri="5fad6ce5-d22b-4573-8d1a-df7dcb0849fd"/>
    <ds:schemaRef ds:uri="http://www.w3.org/XML/1998/namespace"/>
    <ds:schemaRef ds:uri="73f4482d-4bb9-4eac-81db-77d9c4a8f22c"/>
  </ds:schemaRefs>
</ds:datastoreItem>
</file>

<file path=docMetadata/LabelInfo.xml><?xml version="1.0" encoding="utf-8"?>
<clbl:labelList xmlns:clbl="http://schemas.microsoft.com/office/2020/mipLabelMetadata">
  <clbl:label id="{dbdcabb0-4c58-4f31-8c4c-94b89ab3b9f6}" enabled="1" method="Standard" siteId="{7c2da93e-cc41-4f85-94d2-a124c32f9b3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Navngivne områder</vt:lpstr>
      </vt:variant>
      <vt:variant>
        <vt:i4>5</vt:i4>
      </vt:variant>
    </vt:vector>
  </HeadingPairs>
  <TitlesOfParts>
    <vt:vector size="7" baseType="lpstr">
      <vt:lpstr>Løngrænser Kontraktansatte</vt:lpstr>
      <vt:lpstr>Konstante variabler</vt:lpstr>
      <vt:lpstr>Data</vt:lpstr>
      <vt:lpstr>Overenskomster</vt:lpstr>
      <vt:lpstr>'Løngrænser Kontraktansatte'!Udskriftsområde</vt:lpstr>
      <vt:lpstr>ÅrstalListe</vt:lpstr>
      <vt:lpstr>ÅrstalOpslag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Jørgen Wendt</dc:creator>
  <cp:lastModifiedBy>Jeanne Schramm Knudsen</cp:lastModifiedBy>
  <cp:lastPrinted>2025-12-03T10:54:56Z</cp:lastPrinted>
  <dcterms:created xsi:type="dcterms:W3CDTF">2025-11-13T08:44:59Z</dcterms:created>
  <dcterms:modified xsi:type="dcterms:W3CDTF">2026-02-25T13:55:41Z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0x010100899A107A0B21484993032AB7C22C7908</vt:lpwstr>
  </property>
  <property fmtid="{D5CDD505-2E9C-101B-9397-08002B2CF9AE}" pid="3" name="MediaServiceImageTags">
    <vt:lpwstr/>
  </property>
</Properties>
</file>