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finansforbundet-my.sharepoint.com/personal/rnh_finansforbundet_dk/Documents/Skrivebord/Kontraktansatte Løngrænse beregner på hjemmesiden - ny version/"/>
    </mc:Choice>
  </mc:AlternateContent>
  <xr:revisionPtr revIDLastSave="11" documentId="14_{93576C79-4F45-4CBB-8D4A-C514FF049E53}" xr6:coauthVersionLast="47" xr6:coauthVersionMax="47" xr10:uidLastSave="{F76DAD29-CA18-478C-8BC1-C70F0685D81D}"/>
  <workbookProtection workbookAlgorithmName="SHA-512" workbookHashValue="IvbkKv1Yzh4kENMKwIQDI4lHR7LPE0r5onU3z4qrAmtcPNOp4MYW97nw1hr5dcJET8iXRPuK3FLMvEF05gTytA==" workbookSaltValue="N5YfvGRV4NkylOToI3ckGw==" workbookSpinCount="100000" lockStructure="1"/>
  <bookViews>
    <workbookView xWindow="-105" yWindow="0" windowWidth="26010" windowHeight="20985" tabRatio="602" xr2:uid="{EE70E132-7FF7-43E2-99A6-16A7525FDBE7}"/>
  </bookViews>
  <sheets>
    <sheet name="Contract Salary Limits" sheetId="2" r:id="rId1"/>
    <sheet name="Konstante variabler" sheetId="1" state="hidden" r:id="rId2"/>
  </sheets>
  <definedNames>
    <definedName name="Data">'Konstante variabler'!$A$3:$S$13</definedName>
    <definedName name="Overenskomster">'Konstante variabler'!$A$3:$A$13</definedName>
    <definedName name="_xlnm.Print_Area" localSheetId="0">'Contract Salary Limits'!$B$9:$D$55</definedName>
    <definedName name="ÅrstalListe">'Konstante variabler'!$A$20:$A$22</definedName>
    <definedName name="ÅrstalOpslag">'Konstante variabler'!$A$20:$B$22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 l="1"/>
  <c r="B2" i="2"/>
  <c r="C2" i="2" l="1"/>
  <c r="B47" i="2" s="1"/>
  <c r="J20" i="2"/>
  <c r="H40" i="2"/>
  <c r="H44" i="2"/>
  <c r="H32" i="2"/>
  <c r="H28" i="2"/>
  <c r="H24" i="2"/>
  <c r="F36" i="2"/>
  <c r="G36" i="2" s="1"/>
  <c r="B36" i="2" s="1"/>
  <c r="B3" i="2" l="1"/>
  <c r="B20" i="2"/>
  <c r="B6" i="2"/>
  <c r="B5" i="2"/>
  <c r="C36" i="2"/>
  <c r="F44" i="2" l="1"/>
  <c r="F40" i="2"/>
  <c r="B41" i="2" s="1"/>
  <c r="F32" i="2"/>
  <c r="B33" i="2" s="1"/>
  <c r="F28" i="2"/>
  <c r="F24" i="2"/>
  <c r="F15" i="2"/>
  <c r="B25" i="2" l="1"/>
  <c r="B29" i="2"/>
  <c r="F20" i="2"/>
  <c r="D20" i="2" s="1"/>
  <c r="D36" i="2" s="1"/>
  <c r="F47" i="2"/>
  <c r="G40" i="2"/>
  <c r="B45" i="2" l="1"/>
  <c r="B40" i="2"/>
  <c r="D40" i="2"/>
  <c r="D44" i="2"/>
  <c r="D32" i="2"/>
  <c r="D28" i="2"/>
  <c r="D24" i="2" l="1"/>
  <c r="D47" i="2" s="1"/>
  <c r="D50" i="2" l="1"/>
  <c r="B50" i="2" l="1"/>
  <c r="B53" i="2"/>
  <c r="B52" i="2"/>
  <c r="B51" i="2"/>
  <c r="B54" i="2"/>
</calcChain>
</file>

<file path=xl/sharedStrings.xml><?xml version="1.0" encoding="utf-8"?>
<sst xmlns="http://schemas.openxmlformats.org/spreadsheetml/2006/main" count="88" uniqueCount="60">
  <si>
    <t>Beløb</t>
  </si>
  <si>
    <t>Start afkrydsning
 FALSK= tom, SAND= Fyldt</t>
  </si>
  <si>
    <t>Variabler i tekst</t>
  </si>
  <si>
    <t>kontraktansatte2025</t>
  </si>
  <si>
    <t>Redigering af ark
Tilladt, Ikke tilladt</t>
  </si>
  <si>
    <t>Tilladt</t>
  </si>
  <si>
    <t>Ikke tilladt</t>
  </si>
  <si>
    <t>Field 0</t>
  </si>
  <si>
    <t>Select collective agreement</t>
  </si>
  <si>
    <t>Field 1</t>
  </si>
  <si>
    <t xml:space="preserve">Select the year to be calculated </t>
  </si>
  <si>
    <t>Use the drop-down menu to select the year for which you want to make a calculation.</t>
  </si>
  <si>
    <t>Field 2</t>
  </si>
  <si>
    <t>Field 3</t>
  </si>
  <si>
    <t>Care days</t>
  </si>
  <si>
    <t>Tick the box if you are entitled to five care days with pay per year</t>
  </si>
  <si>
    <t>Field 4</t>
  </si>
  <si>
    <t>The sixth week of holiday</t>
  </si>
  <si>
    <t>Field 5</t>
  </si>
  <si>
    <t>Employer’s pension contribution</t>
  </si>
  <si>
    <t>Tick the box if you maintain an unchanged employer's pension contribution</t>
  </si>
  <si>
    <t>Field 5a</t>
  </si>
  <si>
    <t>Reduction of employer’s pension contribution</t>
  </si>
  <si>
    <t>Field 6</t>
  </si>
  <si>
    <t>Field 7</t>
  </si>
  <si>
    <t>Great Prayer Day compensation</t>
  </si>
  <si>
    <t>Tick the box if you are entitled to compensation, i.e. the compensation is not included in your pay</t>
  </si>
  <si>
    <t>Field 8</t>
  </si>
  <si>
    <r>
      <rPr>
        <i/>
        <sz val="11"/>
        <color theme="1"/>
        <rFont val="Aptos"/>
        <family val="2"/>
      </rPr>
      <t>Field 9</t>
    </r>
    <r>
      <rPr>
        <b/>
        <sz val="11"/>
        <color theme="1"/>
        <rFont val="Aptos"/>
        <family val="2"/>
      </rPr>
      <t xml:space="preserve">
Total monthly salary, including own pension contribution, from your last payslip.
</t>
    </r>
    <r>
      <rPr>
        <sz val="8"/>
        <color theme="1"/>
        <rFont val="Aptos"/>
        <family val="2"/>
      </rPr>
      <t>Enter your last monthly salary, i.e. the total fixed monthly salary including your own pension contribution</t>
    </r>
  </si>
  <si>
    <t>Year</t>
  </si>
  <si>
    <t>Factor</t>
  </si>
  <si>
    <t>The Company collective agreement</t>
  </si>
  <si>
    <t>The Standard collective agreement</t>
  </si>
  <si>
    <t>Net salary limit
2025</t>
  </si>
  <si>
    <t>Net salary limit
2026</t>
  </si>
  <si>
    <t>Net salary limit
2027</t>
  </si>
  <si>
    <t>6th holiday week</t>
  </si>
  <si>
    <t>Employer pension contributions</t>
  </si>
  <si>
    <t>Reduction of employer pension contributions</t>
  </si>
  <si>
    <t>Special holiday allowance</t>
  </si>
  <si>
    <t>Compensation St. Prayer Day</t>
  </si>
  <si>
    <t>Salary limit your company
2025</t>
  </si>
  <si>
    <t>Salary limit your company
2026</t>
  </si>
  <si>
    <t>Salary limit your company
2027</t>
  </si>
  <si>
    <t>The Standard collective agreement (SCA)</t>
  </si>
  <si>
    <t>Collective agreement</t>
  </si>
  <si>
    <t>The Company collective agreement (CCA)</t>
  </si>
  <si>
    <t>Use the drop-down menu to select the collective agreement that applies to you.</t>
  </si>
  <si>
    <t xml:space="preserve">Tick the box if you are entitled to five extra holidays with pay per year </t>
  </si>
  <si>
    <t>NB! This English version is provided as a service to our English-speaking members. In the event of any discrepancies or doubt between the English translation and the original Danish text, the Danish version shall prevail.</t>
  </si>
  <si>
    <t>If your salary is below the salary limit for contract employees, so you may be entitled to utstanding payments. Therefore, it's important that you contact Finansforbundet so that we can help you assess whether you are entitled to any outstanding payments and calculate the compensation.</t>
  </si>
  <si>
    <r>
      <rPr>
        <sz val="14"/>
        <color theme="3" tint="9.9978637043366805E-2"/>
        <rFont val="Aptos"/>
        <family val="2"/>
      </rPr>
      <t>Step-by-step guide</t>
    </r>
    <r>
      <rPr>
        <sz val="11"/>
        <color theme="1"/>
        <rFont val="Aptos Narrow"/>
        <family val="2"/>
        <scheme val="minor"/>
      </rPr>
      <t xml:space="preserve">
•    Click </t>
    </r>
    <r>
      <rPr>
        <b/>
        <sz val="11"/>
        <color theme="1"/>
        <rFont val="Aptos Narrow"/>
        <family val="2"/>
        <scheme val="minor"/>
      </rPr>
      <t>Enable editing</t>
    </r>
    <r>
      <rPr>
        <sz val="11"/>
        <color theme="1"/>
        <rFont val="Aptos Narrow"/>
        <family val="2"/>
        <scheme val="minor"/>
      </rPr>
      <t xml:space="preserve"> at the "top" of the Excel sheet.
•    Select the collective agreement that covers you using the drop-down menu in Field 0.
•    Select the year to be calculated using the drop-down menu in Field 1.
•    Tick the boxes in </t>
    </r>
    <r>
      <rPr>
        <i/>
        <sz val="11"/>
        <color theme="1"/>
        <rFont val="Aptos Narrow"/>
        <family val="2"/>
        <scheme val="minor"/>
      </rPr>
      <t>Fields 3-7</t>
    </r>
    <r>
      <rPr>
        <sz val="11"/>
        <color theme="1"/>
        <rFont val="Aptos Narrow"/>
        <family val="2"/>
        <scheme val="minor"/>
      </rPr>
      <t xml:space="preserve"> in accordance with the terms in your individual contract.
•    If you, as a contract employee, receive a reduced pension contribution, enter the reduction in Field 5a.
•    Enter your total monthly salary, including your own pension contribution, from your last payslip in Field 9.
•    The result of the calculation appears in Fields 8 and 9. If the amount in Field 9 is lower than the amount in Field 8, you must contact Finansforbundet.</t>
    </r>
  </si>
  <si>
    <t>SCA</t>
  </si>
  <si>
    <t>CCA</t>
  </si>
  <si>
    <t>ALSydbank - (SCA)</t>
  </si>
  <si>
    <t>Ringkjøbing Landbobank (CCA)</t>
  </si>
  <si>
    <t>Danske Bank (CCA)</t>
  </si>
  <si>
    <t>Jyske Bank (CCA)</t>
  </si>
  <si>
    <t>Nykredit (CCA)</t>
  </si>
  <si>
    <t>Finansforbundet ver.  - maj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</si>
</sst>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r.&quot;_-;\-* #,##0.00\ &quot;kr.&quot;_-;_-* &quot;-&quot;??\ &quot;kr.&quot;_-;_-@_-"/>
    <numFmt numFmtId="164" formatCode="0.000%"/>
    <numFmt numFmtId="165" formatCode="_-* #,##0\ &quot;kr.&quot;_-;\-* #,##0\ &quot;kr.&quot;_-;_-* &quot;-&quot;??\ &quot;kr.&quot;_-;_-@_-"/>
  </numFmts>
  <fonts count="24"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sz val="20"/>
      <color theme="3" tint="9.9978637043366805E-2"/>
      <name val="Aptos Display"/>
      <family val="2"/>
      <scheme val="major"/>
    </font>
    <font>
      <sz val="14"/>
      <color theme="3" tint="9.9978637043366805E-2"/>
      <name val="Aptos"/>
      <family val="2"/>
    </font>
    <font>
      <b/>
      <sz val="11"/>
      <color theme="1"/>
      <name val="Aptos"/>
      <family val="2"/>
    </font>
    <font>
      <i/>
      <sz val="11"/>
      <color theme="1"/>
      <name val="Aptos"/>
      <family val="2"/>
    </font>
    <font>
      <sz val="11"/>
      <color theme="1"/>
      <name val="Aptos"/>
      <family val="2"/>
    </font>
    <font>
      <sz val="8"/>
      <color theme="1"/>
      <name val="Aptos"/>
      <family val="2"/>
    </font>
    <font>
      <b/>
      <sz val="11"/>
      <color theme="0"/>
      <name val="Aptos"/>
      <family val="2"/>
    </font>
    <font>
      <sz val="10"/>
      <color theme="1"/>
      <name val="Aptos"/>
      <family val="2"/>
    </font>
    <font>
      <b/>
      <sz val="11"/>
      <name val="Aptos"/>
      <family val="2"/>
    </font>
    <font>
      <i/>
      <sz val="11"/>
      <name val="Aptos"/>
      <family val="2"/>
    </font>
    <font>
      <sz val="11"/>
      <name val="Aptos"/>
      <family val="2"/>
    </font>
    <font>
      <sz val="8"/>
      <name val="Aptos"/>
      <family val="2"/>
    </font>
    <font>
      <sz val="10"/>
      <name val="Aptos"/>
      <family val="2"/>
    </font>
    <font>
      <b/>
      <sz val="12"/>
      <color theme="1"/>
      <name val="Aptos"/>
      <family val="2"/>
    </font>
    <font>
      <b/>
      <sz val="12"/>
      <color theme="1"/>
      <name val="Aptos Narrow"/>
      <family val="2"/>
      <scheme val="minor"/>
    </font>
    <font>
      <i/>
      <sz val="8"/>
      <color theme="1"/>
      <name val="Aptos Narrow"/>
      <family val="2"/>
      <scheme val="minor"/>
    </font>
    <font>
      <sz val="8"/>
      <name val="Aptos Narrow"/>
      <family val="2"/>
      <scheme val="minor"/>
    </font>
    <font>
      <sz val="11"/>
      <name val="Aptos Narrow"/>
      <family val="2"/>
      <scheme val="minor"/>
    </font>
    <font>
      <sz val="11"/>
      <color theme="0"/>
      <name val="Aptos Narrow"/>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0" tint="-4.9989318521683403E-2"/>
        <bgColor indexed="64"/>
      </patternFill>
    </fill>
  </fills>
  <borders count="34">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8">
    <xf numFmtId="0" fontId="0" fillId="0" borderId="0" xfId="0"/>
    <xf numFmtId="0" fontId="3" fillId="0" borderId="0" xfId="0" applyFont="1"/>
    <xf numFmtId="0" fontId="3" fillId="0" borderId="0" xfId="0" applyFont="1" applyAlignment="1">
      <alignment wrapText="1"/>
    </xf>
    <xf numFmtId="0" fontId="4" fillId="0" borderId="0" xfId="0" applyFont="1"/>
    <xf numFmtId="3" fontId="0" fillId="0" borderId="0" xfId="0" applyNumberFormat="1"/>
    <xf numFmtId="164" fontId="0" fillId="0" borderId="0" xfId="0" applyNumberFormat="1"/>
    <xf numFmtId="3" fontId="2" fillId="0" borderId="0" xfId="0" applyNumberFormat="1" applyFont="1"/>
    <xf numFmtId="164" fontId="0" fillId="0" borderId="0" xfId="2" applyNumberFormat="1" applyFont="1"/>
    <xf numFmtId="0" fontId="0" fillId="0" borderId="0" xfId="0" applyProtection="1">
      <protection hidden="1"/>
    </xf>
    <xf numFmtId="0" fontId="0" fillId="0" borderId="0" xfId="0" applyProtection="1">
      <protection locked="0" hidden="1"/>
    </xf>
    <xf numFmtId="0" fontId="0" fillId="0" borderId="0" xfId="0" applyAlignment="1" applyProtection="1">
      <alignment vertical="center"/>
      <protection hidden="1"/>
    </xf>
    <xf numFmtId="0" fontId="0" fillId="0" borderId="0" xfId="0" applyAlignment="1">
      <alignment vertical="center"/>
    </xf>
    <xf numFmtId="165" fontId="9" fillId="0" borderId="0" xfId="1" applyNumberFormat="1" applyFont="1" applyAlignment="1" applyProtection="1">
      <alignment horizontal="right"/>
      <protection hidden="1"/>
    </xf>
    <xf numFmtId="164" fontId="12" fillId="0" borderId="0" xfId="0" applyNumberFormat="1" applyFont="1" applyAlignment="1" applyProtection="1">
      <alignment horizontal="right" wrapText="1"/>
      <protection hidden="1"/>
    </xf>
    <xf numFmtId="0" fontId="12" fillId="0" borderId="0" xfId="0" applyFont="1" applyAlignment="1" applyProtection="1">
      <alignment horizontal="left" wrapText="1"/>
      <protection hidden="1"/>
    </xf>
    <xf numFmtId="164" fontId="17" fillId="0" borderId="0" xfId="0" applyNumberFormat="1" applyFont="1" applyAlignment="1" applyProtection="1">
      <alignment horizontal="right" wrapText="1"/>
      <protection hidden="1"/>
    </xf>
    <xf numFmtId="0" fontId="17" fillId="0" borderId="0" xfId="0" applyFont="1" applyAlignment="1" applyProtection="1">
      <alignment wrapText="1"/>
      <protection hidden="1"/>
    </xf>
    <xf numFmtId="164" fontId="0" fillId="0" borderId="0" xfId="0" applyNumberFormat="1" applyProtection="1">
      <protection hidden="1"/>
    </xf>
    <xf numFmtId="44" fontId="1" fillId="0" borderId="0" xfId="1" applyFont="1" applyProtection="1">
      <protection hidden="1"/>
    </xf>
    <xf numFmtId="165" fontId="19" fillId="0" borderId="14" xfId="0" applyNumberFormat="1" applyFont="1" applyBorder="1" applyProtection="1">
      <protection hidden="1"/>
    </xf>
    <xf numFmtId="44" fontId="19" fillId="0" borderId="0" xfId="0" applyNumberFormat="1" applyFont="1" applyProtection="1">
      <protection hidden="1"/>
    </xf>
    <xf numFmtId="0" fontId="20" fillId="0" borderId="0" xfId="0" applyFont="1"/>
    <xf numFmtId="0" fontId="0" fillId="0" borderId="17" xfId="0" applyBorder="1" applyAlignment="1">
      <alignment vertical="center" wrapText="1"/>
    </xf>
    <xf numFmtId="0" fontId="0" fillId="0" borderId="18" xfId="0" applyBorder="1" applyAlignment="1">
      <alignment vertical="center"/>
    </xf>
    <xf numFmtId="0" fontId="0" fillId="0" borderId="18" xfId="0" applyBorder="1" applyAlignment="1">
      <alignment vertical="center" wrapText="1"/>
    </xf>
    <xf numFmtId="0" fontId="0" fillId="0" borderId="21" xfId="0" applyBorder="1"/>
    <xf numFmtId="0" fontId="7" fillId="0" borderId="17" xfId="0" applyFont="1" applyBorder="1" applyAlignment="1">
      <alignment wrapText="1"/>
    </xf>
    <xf numFmtId="165" fontId="9" fillId="0" borderId="21" xfId="1" applyNumberFormat="1" applyFont="1" applyBorder="1" applyAlignment="1" applyProtection="1">
      <alignment wrapText="1"/>
    </xf>
    <xf numFmtId="0" fontId="0" fillId="0" borderId="18" xfId="0" applyBorder="1"/>
    <xf numFmtId="0" fontId="9" fillId="0" borderId="17" xfId="0" applyFont="1" applyBorder="1" applyAlignment="1">
      <alignment wrapText="1"/>
    </xf>
    <xf numFmtId="165" fontId="9" fillId="0" borderId="18" xfId="1" applyNumberFormat="1" applyFont="1" applyBorder="1" applyAlignment="1" applyProtection="1">
      <alignment wrapText="1"/>
    </xf>
    <xf numFmtId="165" fontId="9" fillId="0" borderId="23" xfId="1" applyNumberFormat="1" applyFont="1" applyBorder="1" applyAlignment="1" applyProtection="1">
      <alignment wrapText="1"/>
    </xf>
    <xf numFmtId="0" fontId="0" fillId="0" borderId="0" xfId="0" applyAlignment="1">
      <alignment vertical="center" wrapText="1"/>
    </xf>
    <xf numFmtId="0" fontId="0" fillId="3" borderId="15" xfId="0" applyFill="1" applyBorder="1" applyAlignment="1">
      <alignment vertical="center" wrapText="1"/>
    </xf>
    <xf numFmtId="0" fontId="0" fillId="3" borderId="16" xfId="0" applyFill="1" applyBorder="1" applyAlignment="1">
      <alignment vertical="center" wrapText="1"/>
    </xf>
    <xf numFmtId="0" fontId="3" fillId="3" borderId="16" xfId="0" applyFont="1" applyFill="1" applyBorder="1" applyAlignment="1">
      <alignment horizontal="center" vertical="center"/>
    </xf>
    <xf numFmtId="0" fontId="8" fillId="3" borderId="6" xfId="0" applyFont="1" applyFill="1" applyBorder="1" applyAlignment="1">
      <alignment wrapText="1"/>
    </xf>
    <xf numFmtId="0" fontId="0" fillId="3" borderId="24" xfId="0" applyFill="1" applyBorder="1"/>
    <xf numFmtId="0" fontId="0" fillId="3" borderId="25" xfId="0" applyFill="1" applyBorder="1"/>
    <xf numFmtId="0" fontId="0" fillId="3" borderId="28" xfId="0" applyFill="1" applyBorder="1"/>
    <xf numFmtId="0" fontId="0" fillId="3" borderId="22" xfId="0" applyFill="1" applyBorder="1"/>
    <xf numFmtId="10" fontId="12" fillId="0" borderId="0" xfId="0" applyNumberFormat="1" applyFont="1" applyAlignment="1" applyProtection="1">
      <alignment horizontal="right" wrapText="1"/>
      <protection hidden="1"/>
    </xf>
    <xf numFmtId="10" fontId="12" fillId="0" borderId="0" xfId="2" applyNumberFormat="1" applyFont="1" applyAlignment="1" applyProtection="1">
      <alignment horizontal="left" wrapText="1"/>
      <protection hidden="1"/>
    </xf>
    <xf numFmtId="0" fontId="12" fillId="0" borderId="0" xfId="0" applyFont="1" applyAlignment="1" applyProtection="1">
      <alignment horizontal="center" wrapText="1"/>
      <protection hidden="1"/>
    </xf>
    <xf numFmtId="0" fontId="4" fillId="0" borderId="0" xfId="0" applyFont="1" applyAlignment="1">
      <alignment wrapText="1"/>
    </xf>
    <xf numFmtId="164" fontId="22" fillId="0" borderId="0" xfId="0" applyNumberFormat="1" applyFont="1"/>
    <xf numFmtId="0" fontId="0" fillId="3" borderId="0" xfId="0" applyFill="1"/>
    <xf numFmtId="0" fontId="0" fillId="0" borderId="21" xfId="0" applyBorder="1" applyAlignment="1">
      <alignment vertical="center"/>
    </xf>
    <xf numFmtId="0" fontId="11" fillId="0" borderId="0" xfId="0" applyFont="1" applyAlignment="1" applyProtection="1">
      <alignment horizontal="center" vertical="center" wrapText="1"/>
      <protection locked="0" hidden="1"/>
      <extLst>
        <ext xmlns:xfpb="http://schemas.microsoft.com/office/spreadsheetml/2022/featurepropertybag" uri="{C7286773-470A-42A8-94C5-96B5CB345126}">
          <xfpb:xfComplement i="0"/>
        </ext>
      </extLst>
    </xf>
    <xf numFmtId="165" fontId="9" fillId="0" borderId="18" xfId="1" applyNumberFormat="1" applyFont="1" applyBorder="1" applyAlignment="1" applyProtection="1">
      <alignment wrapText="1"/>
      <protection hidden="1"/>
    </xf>
    <xf numFmtId="10" fontId="9" fillId="0" borderId="9" xfId="2" applyNumberFormat="1" applyFont="1" applyBorder="1" applyAlignment="1" applyProtection="1">
      <alignment horizontal="center" wrapText="1"/>
      <protection locked="0" hidden="1"/>
    </xf>
    <xf numFmtId="0" fontId="15" fillId="0" borderId="17" xfId="0" applyFont="1" applyBorder="1" applyAlignment="1" applyProtection="1">
      <alignment wrapText="1"/>
      <protection hidden="1"/>
    </xf>
    <xf numFmtId="0" fontId="14" fillId="3" borderId="6" xfId="0" applyFont="1" applyFill="1" applyBorder="1" applyAlignment="1" applyProtection="1">
      <alignment wrapText="1"/>
      <protection hidden="1"/>
    </xf>
    <xf numFmtId="0" fontId="13" fillId="0" borderId="17" xfId="0" applyFont="1" applyBorder="1" applyAlignment="1" applyProtection="1">
      <alignment wrapText="1"/>
      <protection hidden="1"/>
    </xf>
    <xf numFmtId="0" fontId="8" fillId="3" borderId="6" xfId="0" applyFont="1" applyFill="1" applyBorder="1" applyAlignment="1" applyProtection="1">
      <alignment wrapText="1"/>
      <protection hidden="1"/>
    </xf>
    <xf numFmtId="0" fontId="7" fillId="0" borderId="17" xfId="0" applyFont="1" applyBorder="1" applyAlignment="1" applyProtection="1">
      <alignment wrapText="1"/>
      <protection hidden="1"/>
    </xf>
    <xf numFmtId="0" fontId="9" fillId="0" borderId="17" xfId="0" applyFont="1" applyBorder="1" applyAlignment="1" applyProtection="1">
      <alignment wrapText="1"/>
      <protection hidden="1"/>
    </xf>
    <xf numFmtId="0" fontId="8" fillId="3" borderId="17" xfId="0" applyFont="1" applyFill="1" applyBorder="1" applyAlignment="1" applyProtection="1">
      <alignment wrapText="1"/>
      <protection hidden="1"/>
    </xf>
    <xf numFmtId="0" fontId="0" fillId="0" borderId="17" xfId="0" applyBorder="1" applyAlignment="1" applyProtection="1">
      <alignment vertical="center" wrapText="1"/>
      <protection hidden="1"/>
    </xf>
    <xf numFmtId="0" fontId="3" fillId="0" borderId="17" xfId="0" applyFont="1" applyBorder="1" applyAlignment="1" applyProtection="1">
      <alignment vertical="center" wrapText="1"/>
      <protection hidden="1"/>
    </xf>
    <xf numFmtId="0" fontId="4" fillId="3" borderId="5" xfId="0" applyFont="1" applyFill="1" applyBorder="1" applyAlignment="1" applyProtection="1">
      <alignment vertical="center" wrapText="1"/>
      <protection hidden="1"/>
    </xf>
    <xf numFmtId="0" fontId="0" fillId="0" borderId="8" xfId="0" applyBorder="1" applyAlignment="1" applyProtection="1">
      <alignment vertical="center" wrapText="1"/>
      <protection hidden="1"/>
    </xf>
    <xf numFmtId="0" fontId="11" fillId="0" borderId="27" xfId="0" applyFont="1" applyBorder="1" applyAlignment="1" applyProtection="1">
      <alignment horizontal="center" vertical="center" wrapText="1"/>
      <protection hidden="1"/>
      <extLst>
        <ext xmlns:xfpb="http://schemas.microsoft.com/office/spreadsheetml/2022/featurepropertybag" uri="{C7286773-470A-42A8-94C5-96B5CB345126}">
          <xfpb:xfComplement i="0"/>
        </ext>
      </extLst>
    </xf>
    <xf numFmtId="0" fontId="11" fillId="0" borderId="0" xfId="0" applyFont="1" applyAlignment="1" applyProtection="1">
      <alignment horizontal="center" vertical="center" wrapText="1"/>
      <protection hidden="1"/>
      <extLst>
        <ext xmlns:xfpb="http://schemas.microsoft.com/office/spreadsheetml/2022/featurepropertybag" uri="{C7286773-470A-42A8-94C5-96B5CB345126}">
          <xfpb:xfComplement i="0"/>
        </ext>
      </extLst>
    </xf>
    <xf numFmtId="10" fontId="9" fillId="0" borderId="9" xfId="2" applyNumberFormat="1" applyFont="1" applyBorder="1" applyAlignment="1" applyProtection="1">
      <alignment horizontal="center" wrapText="1"/>
      <protection hidden="1"/>
    </xf>
    <xf numFmtId="10" fontId="9" fillId="0" borderId="29" xfId="2" applyNumberFormat="1" applyFont="1" applyBorder="1" applyAlignment="1" applyProtection="1">
      <alignment horizontal="center" wrapText="1"/>
      <protection hidden="1"/>
    </xf>
    <xf numFmtId="0" fontId="0" fillId="2" borderId="20" xfId="0" applyFill="1" applyBorder="1" applyAlignment="1" applyProtection="1">
      <alignment vertical="center"/>
      <protection locked="0" hidden="1"/>
    </xf>
    <xf numFmtId="0" fontId="0" fillId="2" borderId="20" xfId="0" applyFill="1" applyBorder="1" applyAlignment="1" applyProtection="1">
      <alignment horizontal="left" vertical="center" wrapText="1"/>
      <protection locked="0" hidden="1"/>
    </xf>
    <xf numFmtId="0" fontId="0" fillId="2" borderId="7" xfId="0" applyFill="1" applyBorder="1" applyAlignment="1" applyProtection="1">
      <alignment vertical="center"/>
      <protection hidden="1"/>
    </xf>
    <xf numFmtId="0" fontId="0" fillId="2" borderId="7" xfId="0" applyFill="1" applyBorder="1" applyAlignment="1" applyProtection="1">
      <alignment horizontal="left" vertical="center" wrapText="1"/>
      <protection hidden="1"/>
    </xf>
    <xf numFmtId="0" fontId="3" fillId="0" borderId="0" xfId="0" applyFont="1" applyAlignment="1" applyProtection="1">
      <alignment horizontal="center" vertical="center"/>
      <protection hidden="1"/>
    </xf>
    <xf numFmtId="44" fontId="9" fillId="0" borderId="0" xfId="1" applyFont="1" applyBorder="1" applyProtection="1">
      <protection hidden="1"/>
    </xf>
    <xf numFmtId="44" fontId="9" fillId="0" borderId="0" xfId="1" applyFont="1" applyBorder="1" applyAlignment="1" applyProtection="1">
      <alignment wrapText="1"/>
      <protection hidden="1"/>
    </xf>
    <xf numFmtId="0" fontId="0" fillId="0" borderId="0" xfId="0" applyAlignment="1" applyProtection="1">
      <alignment horizontal="center"/>
      <protection hidden="1"/>
    </xf>
    <xf numFmtId="0" fontId="17" fillId="0" borderId="0" xfId="0" applyFont="1" applyAlignment="1" applyProtection="1">
      <alignment horizontal="center" wrapText="1"/>
      <protection hidden="1"/>
    </xf>
    <xf numFmtId="44" fontId="0" fillId="0" borderId="0" xfId="1" applyFont="1" applyBorder="1" applyProtection="1">
      <protection hidden="1"/>
    </xf>
    <xf numFmtId="0" fontId="0" fillId="0" borderId="0" xfId="0" applyAlignment="1">
      <alignment wrapText="1"/>
    </xf>
    <xf numFmtId="0" fontId="0" fillId="0" borderId="17" xfId="0" applyBorder="1"/>
    <xf numFmtId="0" fontId="0" fillId="0" borderId="10" xfId="0" applyBorder="1"/>
    <xf numFmtId="0" fontId="0" fillId="0" borderId="19" xfId="0" applyBorder="1"/>
    <xf numFmtId="0" fontId="3" fillId="0" borderId="3" xfId="0" applyFont="1" applyBorder="1"/>
    <xf numFmtId="0" fontId="3" fillId="0" borderId="4" xfId="0" applyFont="1" applyBorder="1"/>
    <xf numFmtId="0" fontId="0" fillId="0" borderId="17" xfId="0" applyBorder="1" applyAlignment="1">
      <alignment wrapText="1"/>
    </xf>
    <xf numFmtId="0" fontId="0" fillId="0" borderId="18" xfId="0" applyBorder="1" applyAlignment="1">
      <alignment wrapText="1"/>
    </xf>
    <xf numFmtId="0" fontId="0" fillId="0" borderId="10" xfId="0" applyBorder="1" applyAlignment="1">
      <alignment wrapText="1"/>
    </xf>
    <xf numFmtId="0" fontId="0" fillId="0" borderId="19" xfId="0" applyBorder="1" applyAlignment="1">
      <alignment wrapText="1"/>
    </xf>
    <xf numFmtId="0" fontId="0" fillId="0" borderId="2" xfId="0" applyBorder="1"/>
    <xf numFmtId="0" fontId="0" fillId="0" borderId="4" xfId="0" applyBorder="1"/>
    <xf numFmtId="0" fontId="0" fillId="0" borderId="0" xfId="0" quotePrefix="1"/>
    <xf numFmtId="0" fontId="7" fillId="3" borderId="0" xfId="0" applyFont="1" applyFill="1" applyAlignment="1" applyProtection="1">
      <alignment vertical="center" wrapText="1"/>
      <protection hidden="1"/>
    </xf>
    <xf numFmtId="165" fontId="9" fillId="3" borderId="18" xfId="1" applyNumberFormat="1" applyFont="1" applyFill="1" applyBorder="1" applyAlignment="1" applyProtection="1">
      <protection hidden="1"/>
    </xf>
    <xf numFmtId="165" fontId="9" fillId="3" borderId="21" xfId="1" applyNumberFormat="1" applyFont="1" applyFill="1" applyBorder="1" applyAlignment="1" applyProtection="1">
      <protection hidden="1"/>
    </xf>
    <xf numFmtId="0" fontId="7" fillId="3" borderId="17" xfId="0" applyFont="1" applyFill="1" applyBorder="1" applyAlignment="1" applyProtection="1">
      <alignment vertical="center" wrapText="1"/>
      <protection hidden="1"/>
    </xf>
    <xf numFmtId="165" fontId="9" fillId="3" borderId="25" xfId="1" applyNumberFormat="1" applyFont="1" applyFill="1" applyBorder="1" applyAlignment="1" applyProtection="1">
      <alignment wrapText="1"/>
    </xf>
    <xf numFmtId="0" fontId="11" fillId="3" borderId="24" xfId="0" applyFont="1" applyFill="1" applyBorder="1" applyAlignment="1" applyProtection="1">
      <alignment horizontal="center" vertical="center" wrapText="1"/>
      <protection hidden="1"/>
    </xf>
    <xf numFmtId="165" fontId="3" fillId="3" borderId="19" xfId="1" applyNumberFormat="1" applyFont="1" applyFill="1" applyBorder="1" applyAlignment="1" applyProtection="1">
      <alignment horizontal="left" vertical="center"/>
      <protection hidden="1"/>
    </xf>
    <xf numFmtId="44" fontId="3" fillId="0" borderId="0" xfId="1" applyFont="1" applyBorder="1" applyAlignment="1" applyProtection="1">
      <alignment vertical="center"/>
      <protection hidden="1"/>
    </xf>
    <xf numFmtId="165" fontId="1" fillId="0" borderId="0" xfId="1" applyNumberFormat="1" applyFont="1" applyAlignment="1" applyProtection="1">
      <alignment vertical="center"/>
      <protection hidden="1"/>
    </xf>
    <xf numFmtId="164" fontId="0" fillId="0" borderId="0" xfId="0" applyNumberFormat="1" applyAlignment="1" applyProtection="1">
      <alignment vertical="center"/>
      <protection hidden="1"/>
    </xf>
    <xf numFmtId="165" fontId="3" fillId="3" borderId="18" xfId="1" applyNumberFormat="1" applyFont="1" applyFill="1" applyBorder="1" applyAlignment="1" applyProtection="1">
      <alignment horizontal="left" vertical="center"/>
      <protection hidden="1"/>
    </xf>
    <xf numFmtId="0" fontId="7" fillId="0" borderId="26" xfId="0" applyFont="1" applyBorder="1" applyAlignment="1" applyProtection="1">
      <alignment wrapText="1"/>
      <protection hidden="1"/>
    </xf>
    <xf numFmtId="0" fontId="7" fillId="0" borderId="30" xfId="0" applyFont="1" applyBorder="1" applyAlignment="1">
      <alignment wrapText="1"/>
    </xf>
    <xf numFmtId="0" fontId="7" fillId="3" borderId="10" xfId="0" applyFont="1" applyFill="1" applyBorder="1" applyAlignment="1">
      <alignment horizontal="left" vertical="center" wrapText="1"/>
    </xf>
    <xf numFmtId="0" fontId="7" fillId="3" borderId="1" xfId="0" applyFont="1" applyFill="1" applyBorder="1" applyAlignment="1">
      <alignment horizontal="left" vertical="center" wrapText="1"/>
    </xf>
    <xf numFmtId="165" fontId="22" fillId="2" borderId="11" xfId="1" applyNumberFormat="1" applyFont="1" applyFill="1" applyBorder="1" applyAlignment="1" applyProtection="1">
      <alignment vertical="center"/>
      <protection locked="0"/>
    </xf>
    <xf numFmtId="0" fontId="0" fillId="0" borderId="5" xfId="0" applyBorder="1" applyAlignment="1" applyProtection="1">
      <alignment vertical="center"/>
      <protection hidden="1"/>
    </xf>
    <xf numFmtId="0" fontId="3" fillId="0" borderId="15" xfId="0" applyFont="1" applyBorder="1" applyAlignment="1" applyProtection="1">
      <alignment vertical="center" wrapText="1"/>
      <protection hidden="1"/>
    </xf>
    <xf numFmtId="0" fontId="3" fillId="0" borderId="16" xfId="0" applyFont="1" applyBorder="1" applyAlignment="1" applyProtection="1">
      <alignment horizontal="center" vertical="center"/>
      <protection hidden="1"/>
    </xf>
    <xf numFmtId="0" fontId="0" fillId="3" borderId="25" xfId="0" applyFill="1" applyBorder="1" applyProtection="1">
      <protection hidden="1"/>
    </xf>
    <xf numFmtId="0" fontId="5" fillId="0" borderId="0" xfId="0" applyFont="1"/>
    <xf numFmtId="0" fontId="10" fillId="0" borderId="26" xfId="0" applyFont="1" applyBorder="1" applyAlignment="1" applyProtection="1">
      <alignment wrapText="1"/>
      <protection hidden="1"/>
    </xf>
    <xf numFmtId="0" fontId="10" fillId="0" borderId="26" xfId="0" applyFont="1" applyBorder="1" applyAlignment="1">
      <alignment wrapText="1"/>
    </xf>
    <xf numFmtId="0" fontId="10" fillId="0" borderId="17" xfId="0" applyFont="1" applyBorder="1" applyAlignment="1" applyProtection="1">
      <alignment wrapText="1"/>
      <protection hidden="1"/>
    </xf>
    <xf numFmtId="0" fontId="16" fillId="0" borderId="17" xfId="0" applyFont="1" applyBorder="1" applyAlignment="1" applyProtection="1">
      <alignment wrapText="1"/>
      <protection hidden="1"/>
    </xf>
    <xf numFmtId="0" fontId="23" fillId="0" borderId="0" xfId="0" applyFont="1"/>
    <xf numFmtId="0" fontId="0" fillId="0" borderId="32" xfId="0" applyBorder="1" applyAlignment="1">
      <alignment wrapText="1"/>
    </xf>
    <xf numFmtId="0" fontId="0" fillId="0" borderId="33" xfId="0" applyBorder="1" applyAlignment="1">
      <alignment wrapText="1"/>
    </xf>
    <xf numFmtId="0" fontId="0" fillId="0" borderId="31" xfId="0" applyBorder="1"/>
    <xf numFmtId="0" fontId="5" fillId="0" borderId="3" xfId="0" applyFont="1" applyBorder="1" applyAlignment="1" applyProtection="1">
      <alignment vertical="center" wrapText="1"/>
      <protection hidden="1"/>
    </xf>
    <xf numFmtId="0" fontId="5" fillId="0" borderId="2" xfId="0" applyFont="1" applyBorder="1" applyAlignment="1">
      <alignment vertical="center" wrapText="1"/>
    </xf>
    <xf numFmtId="0" fontId="5" fillId="0" borderId="4" xfId="0" applyFont="1" applyBorder="1" applyAlignment="1">
      <alignment vertical="center" wrapText="1"/>
    </xf>
    <xf numFmtId="0" fontId="4" fillId="3" borderId="5" xfId="0" applyFont="1" applyFill="1" applyBorder="1" applyAlignment="1" applyProtection="1">
      <alignment vertical="center" wrapText="1"/>
      <protection hidden="1"/>
    </xf>
    <xf numFmtId="0" fontId="3" fillId="3" borderId="15" xfId="0" applyFont="1" applyFill="1" applyBorder="1" applyAlignment="1" applyProtection="1">
      <alignment vertical="center" wrapText="1"/>
      <protection hidden="1"/>
    </xf>
    <xf numFmtId="0" fontId="9" fillId="0" borderId="10" xfId="0" applyFont="1" applyBorder="1" applyAlignment="1" applyProtection="1">
      <alignment vertical="center"/>
      <protection hidden="1"/>
    </xf>
    <xf numFmtId="0" fontId="9" fillId="0" borderId="1" xfId="0" applyFont="1" applyBorder="1" applyAlignment="1" applyProtection="1">
      <alignment vertical="center"/>
      <protection hidden="1"/>
    </xf>
    <xf numFmtId="0" fontId="9" fillId="0" borderId="19" xfId="0" applyFont="1" applyBorder="1" applyAlignment="1" applyProtection="1">
      <alignment vertical="center"/>
      <protection hidden="1"/>
    </xf>
    <xf numFmtId="0" fontId="8" fillId="3" borderId="6" xfId="0" applyFont="1" applyFill="1" applyBorder="1" applyAlignment="1" applyProtection="1">
      <alignment vertical="center" wrapText="1"/>
      <protection hidden="1"/>
    </xf>
    <xf numFmtId="0" fontId="7" fillId="3" borderId="24" xfId="0" applyFont="1" applyFill="1" applyBorder="1" applyAlignment="1" applyProtection="1">
      <alignment vertical="center" wrapText="1"/>
      <protection hidden="1"/>
    </xf>
    <xf numFmtId="0" fontId="7" fillId="3" borderId="17" xfId="0" applyFont="1" applyFill="1" applyBorder="1" applyAlignment="1">
      <alignment horizontal="left" vertical="center" wrapText="1"/>
    </xf>
    <xf numFmtId="0" fontId="7" fillId="3" borderId="0" xfId="0" applyFont="1" applyFill="1" applyAlignment="1">
      <alignment horizontal="left" vertical="center" wrapText="1"/>
    </xf>
    <xf numFmtId="0" fontId="18" fillId="0" borderId="12" xfId="0" applyFont="1" applyBorder="1" applyAlignment="1">
      <alignment wrapText="1"/>
    </xf>
    <xf numFmtId="0" fontId="18" fillId="0" borderId="13" xfId="0" applyFont="1" applyBorder="1" applyAlignment="1">
      <alignment wrapText="1"/>
    </xf>
    <xf numFmtId="0" fontId="18" fillId="0" borderId="5" xfId="0" applyFont="1" applyBorder="1" applyProtection="1">
      <protection hidden="1"/>
    </xf>
    <xf numFmtId="0" fontId="18" fillId="0" borderId="15" xfId="0" applyFont="1" applyBorder="1" applyProtection="1">
      <protection hidden="1"/>
    </xf>
    <xf numFmtId="0" fontId="18" fillId="0" borderId="16" xfId="0" applyFont="1" applyBorder="1" applyProtection="1">
      <protection hidden="1"/>
    </xf>
    <xf numFmtId="0" fontId="9" fillId="0" borderId="17" xfId="0" applyFont="1" applyBorder="1" applyAlignment="1" applyProtection="1">
      <alignment vertical="center"/>
      <protection hidden="1"/>
    </xf>
    <xf numFmtId="0" fontId="9" fillId="0" borderId="0" xfId="0" applyFont="1" applyAlignment="1" applyProtection="1">
      <alignment vertical="center"/>
      <protection hidden="1"/>
    </xf>
    <xf numFmtId="0" fontId="9" fillId="0" borderId="18" xfId="0" applyFont="1" applyBorder="1" applyAlignment="1" applyProtection="1">
      <alignment vertical="center"/>
      <protection hidden="1"/>
    </xf>
    <xf numFmtId="0" fontId="9" fillId="0" borderId="17" xfId="0" applyFont="1" applyBorder="1" applyAlignment="1" applyProtection="1">
      <alignment horizontal="left" vertical="center" wrapText="1"/>
      <protection hidden="1"/>
    </xf>
    <xf numFmtId="0" fontId="9" fillId="0" borderId="0" xfId="0" applyFont="1" applyAlignment="1" applyProtection="1">
      <alignment horizontal="left" vertical="center" wrapText="1"/>
      <protection hidden="1"/>
    </xf>
    <xf numFmtId="0" fontId="9" fillId="0" borderId="18" xfId="0" applyFont="1" applyBorder="1" applyAlignment="1" applyProtection="1">
      <alignment horizontal="left" vertical="center" wrapText="1"/>
      <protection hidden="1"/>
    </xf>
    <xf numFmtId="0" fontId="0" fillId="0" borderId="0" xfId="0" applyAlignment="1" applyProtection="1">
      <alignment vertical="top" wrapText="1"/>
      <protection hidden="1"/>
    </xf>
    <xf numFmtId="0" fontId="0" fillId="0" borderId="1" xfId="0" applyBorder="1" applyAlignment="1" applyProtection="1">
      <alignment vertical="top" wrapText="1"/>
      <protection hidden="1"/>
    </xf>
    <xf numFmtId="0" fontId="0" fillId="0" borderId="2" xfId="0" applyBorder="1" applyAlignment="1" applyProtection="1">
      <alignment vertical="center" wrapText="1"/>
      <protection hidden="1"/>
    </xf>
    <xf numFmtId="0" fontId="3" fillId="2" borderId="3" xfId="0" applyFont="1" applyFill="1" applyBorder="1" applyAlignment="1" applyProtection="1">
      <alignment horizontal="left" vertical="top" wrapText="1"/>
      <protection hidden="1"/>
    </xf>
    <xf numFmtId="0" fontId="0" fillId="2" borderId="2" xfId="0" applyFill="1" applyBorder="1" applyAlignment="1" applyProtection="1">
      <alignment horizontal="left" vertical="top" wrapText="1"/>
      <protection hidden="1"/>
    </xf>
    <xf numFmtId="0" fontId="0" fillId="2" borderId="4" xfId="0" applyFill="1" applyBorder="1" applyAlignment="1" applyProtection="1">
      <alignment horizontal="left" vertical="top" wrapText="1"/>
      <protection hidden="1"/>
    </xf>
    <xf numFmtId="0" fontId="3" fillId="0" borderId="0" xfId="0" applyFont="1" applyAlignment="1">
      <alignment wrapText="1"/>
    </xf>
  </cellXfs>
  <cellStyles count="3">
    <cellStyle name="Normal" xfId="0" builtinId="0"/>
    <cellStyle name="Procent" xfId="2" builtinId="5"/>
    <cellStyle name="Valuta" xfId="1" builtinId="4"/>
  </cellStyles>
  <dxfs count="3">
    <dxf>
      <font>
        <color rgb="FF00B050"/>
      </font>
    </dxf>
    <dxf>
      <font>
        <color rgb="FFFF000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C24" lockText="1" noThreeD="1"/>
</file>

<file path=xl/ctrlProps/ctrlProp2.xml><?xml version="1.0" encoding="utf-8"?>
<formControlPr xmlns="http://schemas.microsoft.com/office/spreadsheetml/2009/9/main" objectType="CheckBox" fmlaLink="C28" lockText="1" noThreeD="1"/>
</file>

<file path=xl/ctrlProps/ctrlProp3.xml><?xml version="1.0" encoding="utf-8"?>
<formControlPr xmlns="http://schemas.microsoft.com/office/spreadsheetml/2009/9/main" objectType="CheckBox" fmlaLink="C32" lockText="1" noThreeD="1"/>
</file>

<file path=xl/ctrlProps/ctrlProp4.xml><?xml version="1.0" encoding="utf-8"?>
<formControlPr xmlns="http://schemas.microsoft.com/office/spreadsheetml/2009/9/main" objectType="CheckBox" fmlaLink="C40" lockText="1" noThreeD="1"/>
</file>

<file path=xl/ctrlProps/ctrlProp5.xml><?xml version="1.0" encoding="utf-8"?>
<formControlPr xmlns="http://schemas.microsoft.com/office/spreadsheetml/2009/9/main" objectType="CheckBox" fmlaLink="C44"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257175</xdr:colOff>
          <xdr:row>22</xdr:row>
          <xdr:rowOff>76200</xdr:rowOff>
        </xdr:from>
        <xdr:to>
          <xdr:col>2</xdr:col>
          <xdr:colOff>676275</xdr:colOff>
          <xdr:row>24</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26</xdr:row>
          <xdr:rowOff>28575</xdr:rowOff>
        </xdr:from>
        <xdr:to>
          <xdr:col>2</xdr:col>
          <xdr:colOff>676275</xdr:colOff>
          <xdr:row>28</xdr:row>
          <xdr:rowOff>190500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30</xdr:row>
          <xdr:rowOff>0</xdr:rowOff>
        </xdr:from>
        <xdr:to>
          <xdr:col>2</xdr:col>
          <xdr:colOff>676275</xdr:colOff>
          <xdr:row>33</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38</xdr:row>
          <xdr:rowOff>28575</xdr:rowOff>
        </xdr:from>
        <xdr:to>
          <xdr:col>2</xdr:col>
          <xdr:colOff>676275</xdr:colOff>
          <xdr:row>40</xdr:row>
          <xdr:rowOff>228600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42</xdr:row>
          <xdr:rowOff>9525</xdr:rowOff>
        </xdr:from>
        <xdr:to>
          <xdr:col>2</xdr:col>
          <xdr:colOff>676275</xdr:colOff>
          <xdr:row>44</xdr:row>
          <xdr:rowOff>200025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3B196-A4B0-4394-A905-A7DE9A9D7D66}">
  <sheetPr>
    <pageSetUpPr fitToPage="1"/>
  </sheetPr>
  <dimension ref="A1:N55"/>
  <sheetViews>
    <sheetView showGridLines="0" showRowColHeaders="0" tabSelected="1" zoomScale="120" zoomScaleNormal="120" workbookViewId="0">
      <selection activeCell="C16" sqref="C16"/>
      <extLst>
        <ext xmlns:xlsdti="http://schemas.microsoft.com/office/spreadsheetml/2023/showDataTypeIcons" uri="{77bfe23e-c014-4d31-8a63-9c772dbf06b6}">
          <xlsdti:showDataTypeIcons visible="0"/>
        </ext>
      </extLst>
    </sheetView>
  </sheetViews>
  <sheetFormatPr defaultColWidth="0" defaultRowHeight="14.45" customHeight="1" zeroHeight="1" x14ac:dyDescent="0.25"/>
  <cols>
    <col min="1" max="1" width="2" customWidth="1"/>
    <col min="2" max="2" width="100.7109375" customWidth="1"/>
    <col min="3" max="3" width="34.7109375" customWidth="1"/>
    <col min="4" max="4" width="20.42578125" customWidth="1"/>
    <col min="5" max="5" width="2" style="8" customWidth="1"/>
    <col min="6" max="6" width="11.42578125" style="8" hidden="1" customWidth="1"/>
    <col min="7" max="7" width="12.85546875" style="8" hidden="1" customWidth="1"/>
    <col min="8" max="8" width="6.140625" style="8" hidden="1" customWidth="1"/>
    <col min="9" max="9" width="4.5703125" style="8" hidden="1" customWidth="1"/>
    <col min="10" max="10" width="12.42578125" style="8" hidden="1" customWidth="1"/>
    <col min="11" max="16384" width="4.5703125" style="8" hidden="1"/>
  </cols>
  <sheetData>
    <row r="1" spans="1:9" ht="6" customHeight="1" x14ac:dyDescent="0.25">
      <c r="C1" s="8"/>
      <c r="D1" s="8"/>
    </row>
    <row r="2" spans="1:9" ht="26.25" x14ac:dyDescent="0.4">
      <c r="B2" s="109" t="str">
        <f>IF(RIGHT(C12,5)="(CCA)",LEFT(C12,LEN(C12)-5)&amp;" - Company collective agreement (CCA)",IF(LEFT(C12,12)="The Standard",LEFT(C12,LEN(C12)-5)&amp;"(SCA)",LEFT(C12,LEN(C12)-8)&amp;" - The Standard collective agreement (SCA)"))</f>
        <v>The Standard collective agreement (SCA)</v>
      </c>
      <c r="C2" s="114">
        <f>IF(RIGHT($B$2,5)="(SCA)",1,2)</f>
        <v>1</v>
      </c>
      <c r="D2" s="9"/>
      <c r="G2" s="8" t="s">
        <v>3</v>
      </c>
    </row>
    <row r="3" spans="1:9" ht="59.1" customHeight="1" x14ac:dyDescent="0.25">
      <c r="A3" s="8"/>
      <c r="B3" s="141" t="str">
        <f>"As a contract employee, you must continuously ensure that your monthly salary is above the salary limit for employment on an individual contract in " &amp; IF($C$2=1,'Konstante variabler'!A27,'Konstante variabler'!A28) &amp; ". If your monthly salary falls below this limit, you cannot be employed on an individual contract. In such cases, you will instead be covered by all the terms and conditions in " &amp; IF($C$2=1,'Konstante variabler'!B27,'Konstante variabler'!B28) &amp; " (e.g. the annual general salary increases), like other employees. Alternatively, your employer must increase your monthly salary so that it once again exceeds the limit."</f>
        <v>As a contract employee, you must continuously ensure that your monthly salary is above the salary limit for employment on an individual contract in The Standard collective agreement (SCA). If your monthly salary falls below this limit, you cannot be employed on an individual contract. In such cases, you will instead be covered by all the terms and conditions in The Standard collective agreement (SCA) (e.g. the annual general salary increases), like other employees. Alternatively, your employer must increase your monthly salary so that it once again exceeds the limit.</v>
      </c>
      <c r="C3" s="141"/>
      <c r="D3" s="141"/>
    </row>
    <row r="4" spans="1:9" ht="36" customHeight="1" x14ac:dyDescent="0.25">
      <c r="A4" s="8"/>
      <c r="B4" s="141" t="s">
        <v>50</v>
      </c>
      <c r="C4" s="141"/>
      <c r="D4" s="141"/>
    </row>
    <row r="5" spans="1:9" ht="35.450000000000003" customHeight="1" x14ac:dyDescent="0.25">
      <c r="A5" s="8"/>
      <c r="B5" s="141" t="str">
        <f>"The salary limit for contract employees  depends on whether the value of care days, the sixth week of holiday, the employer’s pension contribution, the special holiday allowance, and compensation for Great Prayer Day in " &amp; IF($C$2=1,'Konstante variabler'!B27,'Konstante variabler'!B28) &amp; " are included in your monthly salary, or whether you still have the right to these conditions."</f>
        <v>The salary limit for contract employees  depends on whether the value of care days, the sixth week of holiday, the employer’s pension contribution, the special holiday allowance, and compensation for Great Prayer Day in The Standard collective agreement (SCA) are included in your monthly salary, or whether you still have the right to these conditions.</v>
      </c>
      <c r="C5" s="141"/>
      <c r="D5" s="141"/>
    </row>
    <row r="6" spans="1:9" ht="60" customHeight="1" thickBot="1" x14ac:dyDescent="0.3">
      <c r="A6" s="8"/>
      <c r="B6" s="142" t="str">
        <f>"To make it easy, you can use the tool below to quickly check whether your monthly salary is above or below the salary limit for contract employees in "&amp;IF($C$2=1,'Konstante variabler'!B27,'Konstante variabler'!B28)&amp;". The tool calculates the "&amp;IF($C$2=1,'Konstante variabler'!D27,'Konstante variabler'!D28)&amp;_xlfn._LONGTEXT(" salary limit for contract employment at your company based on the information you enter. Then you take your most recent payslip and compare your total monthly salary, including your own pension contribution, with the salary limit to determine whether you","r monthly salary is above or below the salary limit in the ")&amp;IF($C$2=1,'Konstante variabler'!D27,'Konstante variabler'!D28)&amp;"."</f>
        <v>To make it easy, you can use the tool below to quickly check whether your monthly salary is above or below the salary limit for contract employees in The Standard collective agreement (SCA). The tool calculates the SCA salary limit for contract employment at your company based on the information you enter. Then you take your most recent payslip and compare your total monthly salary, including your own pension contribution, with the salary limit to determine whether your monthly salary is above or below the salary limit in the SCA.</v>
      </c>
      <c r="C6" s="142"/>
      <c r="D6" s="142"/>
    </row>
    <row r="7" spans="1:9" ht="33" customHeight="1" thickBot="1" x14ac:dyDescent="0.3">
      <c r="A7" s="8"/>
      <c r="B7" s="144" t="s">
        <v>49</v>
      </c>
      <c r="C7" s="145"/>
      <c r="D7" s="146"/>
    </row>
    <row r="8" spans="1:9" ht="131.1" customHeight="1" thickBot="1" x14ac:dyDescent="0.3">
      <c r="A8" s="8"/>
      <c r="B8" s="143" t="s">
        <v>51</v>
      </c>
      <c r="C8" s="143"/>
      <c r="D8" s="143"/>
    </row>
    <row r="9" spans="1:9" ht="38.1" customHeight="1" thickBot="1" x14ac:dyDescent="0.3">
      <c r="A9" s="8"/>
      <c r="B9" s="118" t="str">
        <f>IF(RIGHT(C12,5)="(CCA)",LEFT(C12,LEN(C12)-5)&amp;" Company collective agreement (CCA)",IF(LEFT(C12,12)="The Standard",LEFT(C12,LEN(C12)-5)&amp;"(SCA)",LEFT(C12,LEN(C12)-8)&amp;" - The Standard collective agreement (SCA)")&amp;" - "&amp;C16)</f>
        <v>The Standard collective agreement (SCA) - 2025</v>
      </c>
      <c r="C9" s="119"/>
      <c r="D9" s="120"/>
    </row>
    <row r="10" spans="1:9" ht="18.600000000000001" customHeight="1" x14ac:dyDescent="0.25">
      <c r="B10" s="60" t="s">
        <v>7</v>
      </c>
      <c r="C10" s="33"/>
      <c r="D10" s="34"/>
    </row>
    <row r="11" spans="1:9" ht="18.600000000000001" customHeight="1" x14ac:dyDescent="0.25">
      <c r="B11" s="59" t="s">
        <v>8</v>
      </c>
      <c r="D11" s="25"/>
    </row>
    <row r="12" spans="1:9" ht="17.45" customHeight="1" x14ac:dyDescent="0.25">
      <c r="B12" s="61" t="s">
        <v>47</v>
      </c>
      <c r="C12" s="66" t="s">
        <v>44</v>
      </c>
      <c r="D12" s="68"/>
    </row>
    <row r="13" spans="1:9" ht="15.6" customHeight="1" thickBot="1" x14ac:dyDescent="0.3">
      <c r="B13" s="58"/>
      <c r="C13" s="32"/>
      <c r="D13" s="24"/>
    </row>
    <row r="14" spans="1:9" s="10" customFormat="1" ht="18.600000000000001" customHeight="1" x14ac:dyDescent="0.25">
      <c r="A14" s="11"/>
      <c r="B14" s="121" t="s">
        <v>9</v>
      </c>
      <c r="C14" s="122"/>
      <c r="D14" s="35"/>
      <c r="E14" s="70"/>
      <c r="G14" s="8"/>
      <c r="H14" s="8"/>
      <c r="I14" s="8"/>
    </row>
    <row r="15" spans="1:9" s="10" customFormat="1" ht="18.600000000000001" customHeight="1" x14ac:dyDescent="0.25">
      <c r="A15" s="11"/>
      <c r="B15" s="59" t="s">
        <v>10</v>
      </c>
      <c r="C15" s="11"/>
      <c r="D15" s="47"/>
      <c r="E15" s="70"/>
      <c r="F15" s="10">
        <f>VLOOKUP(C16,ÅrstalOpslag,2,FALSE)</f>
        <v>1</v>
      </c>
      <c r="G15" s="8"/>
      <c r="H15" s="8"/>
      <c r="I15" s="8"/>
    </row>
    <row r="16" spans="1:9" s="10" customFormat="1" ht="18.600000000000001" customHeight="1" x14ac:dyDescent="0.25">
      <c r="A16" s="11"/>
      <c r="B16" s="58" t="s">
        <v>11</v>
      </c>
      <c r="C16" s="67">
        <v>2025</v>
      </c>
      <c r="D16" s="69"/>
      <c r="E16" s="70"/>
      <c r="G16" s="8"/>
      <c r="H16" s="8"/>
      <c r="I16" s="8"/>
    </row>
    <row r="17" spans="1:14" s="10" customFormat="1" ht="8.4499999999999993" customHeight="1" x14ac:dyDescent="0.25">
      <c r="A17" s="11"/>
      <c r="B17" s="22"/>
      <c r="C17" s="11"/>
      <c r="D17" s="23"/>
      <c r="E17" s="70"/>
      <c r="G17" s="8"/>
      <c r="H17" s="8"/>
      <c r="I17" s="8"/>
    </row>
    <row r="18" spans="1:14" s="10" customFormat="1" ht="18.600000000000001" hidden="1" customHeight="1" thickBot="1" x14ac:dyDescent="0.3">
      <c r="A18" s="11"/>
      <c r="B18" s="105"/>
      <c r="C18" s="106"/>
      <c r="D18" s="107" t="s">
        <v>0</v>
      </c>
      <c r="E18" s="70"/>
      <c r="G18" s="8"/>
      <c r="H18" s="8"/>
      <c r="I18" s="8"/>
    </row>
    <row r="19" spans="1:14" ht="18.600000000000001" customHeight="1" x14ac:dyDescent="0.25">
      <c r="B19" s="126" t="s">
        <v>12</v>
      </c>
      <c r="C19" s="127"/>
      <c r="D19" s="108"/>
      <c r="E19" s="71"/>
    </row>
    <row r="20" spans="1:14" ht="28.5" customHeight="1" x14ac:dyDescent="0.25">
      <c r="B20" s="92" t="str">
        <f>IF($C$2=1,'Konstante variabler'!C27,'Konstante variabler'!C28) &amp; " salary limit for employment on an individual contract" &amp; IF($C$2=1," in your company","") &amp; " (net)"</f>
        <v>The Standard collective agreement salary limit for employment on an individual contract in your company (net)</v>
      </c>
      <c r="C20" s="89"/>
      <c r="D20" s="90">
        <f>F20</f>
        <v>79200</v>
      </c>
      <c r="E20" s="71"/>
      <c r="F20" s="12">
        <f>VLOOKUP($C$12,Data,1+F15,FALSE)</f>
        <v>79200</v>
      </c>
      <c r="J20" s="14" t="str">
        <f>VLOOKUP($C$12,Data,19,FALSE)</f>
        <v>Tilladt</v>
      </c>
    </row>
    <row r="21" spans="1:14" ht="15.6" customHeight="1" x14ac:dyDescent="0.25">
      <c r="B21" s="92"/>
      <c r="C21" s="89"/>
      <c r="D21" s="91"/>
      <c r="E21" s="71"/>
      <c r="F21" s="12"/>
    </row>
    <row r="22" spans="1:14" ht="18.600000000000001" customHeight="1" x14ac:dyDescent="0.25">
      <c r="B22" s="54" t="s">
        <v>13</v>
      </c>
      <c r="C22" s="37"/>
      <c r="D22" s="38"/>
      <c r="E22" s="72"/>
      <c r="J22" s="14"/>
      <c r="K22" s="14"/>
      <c r="L22" s="14"/>
      <c r="M22" s="14"/>
      <c r="N22" s="14"/>
    </row>
    <row r="23" spans="1:14" ht="18.600000000000001" customHeight="1" x14ac:dyDescent="0.25">
      <c r="B23" s="55" t="s">
        <v>14</v>
      </c>
      <c r="C23" s="63" t="b">
        <v>0</v>
      </c>
      <c r="D23" s="28"/>
      <c r="E23" s="72"/>
      <c r="F23" s="13"/>
      <c r="J23" s="14"/>
      <c r="K23" s="14"/>
      <c r="L23" s="14"/>
      <c r="M23" s="14"/>
      <c r="N23" s="14"/>
    </row>
    <row r="24" spans="1:14" ht="18.600000000000001" customHeight="1" x14ac:dyDescent="0.25">
      <c r="B24" s="56" t="s">
        <v>15</v>
      </c>
      <c r="C24" s="48" t="b">
        <v>0</v>
      </c>
      <c r="D24" s="49">
        <f>IF($J$20="Tilladt",IF(C24=TRUE,0,IF(F47&gt;0,(D20+D36+D40)*F24,$D$20*F24)),IF(H24=TRUE,0,IF(F47&gt;0,(D20+D36+D40)*F24,$D$20*F24)))</f>
        <v>1732.104</v>
      </c>
      <c r="E24" s="72"/>
      <c r="F24" s="13">
        <f>VLOOKUP($C$12,Data,5,FALSE)</f>
        <v>2.1870000000000001E-2</v>
      </c>
      <c r="H24" s="73" t="b">
        <f>VLOOKUP($C$12,Data,14,FALSE)</f>
        <v>0</v>
      </c>
      <c r="K24" s="14"/>
      <c r="L24" s="14"/>
      <c r="M24" s="14"/>
      <c r="N24" s="14"/>
    </row>
    <row r="25" spans="1:14" s="72" customFormat="1" ht="24.95" customHeight="1" x14ac:dyDescent="0.25">
      <c r="A25"/>
      <c r="B25" s="110" t="str">
        <f>"The value of five care days is calculated as (total fixed monthly salary including the employee’s own pension contribution + special holiday allowance + employer's pension contribution) ~ " &amp; TEXT(F24,"0,000%")</f>
        <v>The value of five care days is calculated as (total fixed monthly salary including the employee’s own pension contribution + special holiday allowance + employer's pension contribution) ~ 2,187%</v>
      </c>
      <c r="C25" s="62" t="b">
        <v>0</v>
      </c>
      <c r="D25" s="27"/>
    </row>
    <row r="26" spans="1:14" ht="18.600000000000001" customHeight="1" x14ac:dyDescent="0.25">
      <c r="B26" s="36" t="s">
        <v>16</v>
      </c>
      <c r="C26" s="46"/>
      <c r="D26" s="38"/>
      <c r="E26" s="72"/>
      <c r="G26" s="14"/>
      <c r="H26" s="14"/>
      <c r="I26" s="14"/>
      <c r="J26" s="14"/>
      <c r="K26" s="14"/>
      <c r="L26" s="14"/>
      <c r="M26" s="14"/>
      <c r="N26" s="14"/>
    </row>
    <row r="27" spans="1:14" ht="18.600000000000001" customHeight="1" x14ac:dyDescent="0.25">
      <c r="B27" s="26" t="s">
        <v>17</v>
      </c>
      <c r="C27" s="63" t="b">
        <v>0</v>
      </c>
      <c r="D27" s="30"/>
      <c r="E27" s="72"/>
      <c r="F27" s="13"/>
      <c r="G27" s="14"/>
      <c r="H27" s="14"/>
      <c r="I27" s="14"/>
      <c r="J27" s="14"/>
      <c r="K27" s="14"/>
      <c r="L27" s="14"/>
      <c r="M27" s="14"/>
      <c r="N27" s="14"/>
    </row>
    <row r="28" spans="1:14" ht="18.600000000000001" customHeight="1" x14ac:dyDescent="0.25">
      <c r="B28" s="29" t="s">
        <v>48</v>
      </c>
      <c r="C28" s="48" t="b">
        <v>0</v>
      </c>
      <c r="D28" s="30">
        <f>IF($J$20="Tilladt",IF(C28=TRUE,0,$D$20*F28),IF(H28=TRUE,0,$D$20*F28))</f>
        <v>1732.104</v>
      </c>
      <c r="E28" s="72"/>
      <c r="F28" s="13">
        <f>VLOOKUP($C$12,Data,6,FALSE)</f>
        <v>2.1870000000000001E-2</v>
      </c>
      <c r="H28" s="43" t="b">
        <f>VLOOKUP($C$12,Data,15,FALSE)</f>
        <v>0</v>
      </c>
      <c r="I28" s="14"/>
      <c r="J28" s="14"/>
      <c r="K28" s="14"/>
      <c r="L28" s="14"/>
      <c r="M28" s="14"/>
      <c r="N28" s="14"/>
    </row>
    <row r="29" spans="1:14" ht="24.95" customHeight="1" x14ac:dyDescent="0.25">
      <c r="B29" s="111" t="str">
        <f>"The value of the collective-agreement-based vacation days is calculated on the basis of (the total fixed monthly salary, including the employee’s own pension contribution, the special holiday allowance, and the employer’s pension contribution) ~ " &amp; TEXT(F24,"0,000%")</f>
        <v>The value of the collective-agreement-based vacation days is calculated on the basis of (the total fixed monthly salary, including the employee’s own pension contribution, the special holiday allowance, and the employer’s pension contribution) ~ 2,187%</v>
      </c>
      <c r="C29" s="62" t="b">
        <v>1</v>
      </c>
      <c r="D29" s="27"/>
      <c r="E29" s="72"/>
      <c r="F29" s="13"/>
      <c r="G29" s="14"/>
      <c r="H29" s="14"/>
      <c r="I29" s="14"/>
      <c r="J29" s="14"/>
      <c r="K29" s="14"/>
      <c r="L29" s="14"/>
      <c r="M29" s="14"/>
      <c r="N29" s="14"/>
    </row>
    <row r="30" spans="1:14" ht="18.600000000000001" customHeight="1" x14ac:dyDescent="0.25">
      <c r="B30" s="54" t="s">
        <v>18</v>
      </c>
      <c r="C30" s="46"/>
      <c r="D30" s="38"/>
      <c r="E30" s="72"/>
      <c r="G30" s="14"/>
      <c r="H30" s="14"/>
      <c r="I30" s="14"/>
      <c r="J30" s="14"/>
      <c r="K30" s="14"/>
      <c r="L30" s="14"/>
      <c r="M30" s="14"/>
      <c r="N30" s="14"/>
    </row>
    <row r="31" spans="1:14" ht="18.600000000000001" customHeight="1" x14ac:dyDescent="0.25">
      <c r="B31" s="55" t="s">
        <v>19</v>
      </c>
      <c r="C31" s="63" t="b">
        <v>0</v>
      </c>
      <c r="D31" s="28"/>
      <c r="E31" s="72"/>
      <c r="F31" s="13"/>
      <c r="G31" s="14"/>
      <c r="H31" s="14"/>
      <c r="I31" s="14"/>
      <c r="J31" s="14"/>
      <c r="K31" s="14"/>
      <c r="L31" s="14"/>
      <c r="M31" s="14"/>
      <c r="N31" s="14"/>
    </row>
    <row r="32" spans="1:14" ht="18.600000000000001" customHeight="1" x14ac:dyDescent="0.25">
      <c r="B32" s="56" t="s">
        <v>20</v>
      </c>
      <c r="C32" s="48" t="b">
        <v>0</v>
      </c>
      <c r="D32" s="30">
        <f>IF($J$20="Tilladt",IF(C36&gt;0,0,IF(C32=TRUE,0,$D$20*F32)),IF(C36&gt;0,0,IF(CH1=TRUE,0,$D$20*F32)))</f>
        <v>9226.8000000000011</v>
      </c>
      <c r="E32" s="72"/>
      <c r="F32" s="13">
        <f>VLOOKUP($C$12,Data,7,FALSE)</f>
        <v>0.11650000000000001</v>
      </c>
      <c r="H32" s="43" t="b">
        <f>VLOOKUP($C$12,Data,16,FALSE)</f>
        <v>0</v>
      </c>
      <c r="I32" s="14"/>
      <c r="J32" s="14"/>
      <c r="K32" s="14"/>
      <c r="L32" s="14"/>
      <c r="M32" s="14"/>
      <c r="N32" s="14"/>
    </row>
    <row r="33" spans="1:14" ht="15.6" customHeight="1" x14ac:dyDescent="0.25">
      <c r="B33" s="110" t="str">
        <f>"cf. " &amp; IF($C$2=1,"SCA","CCA") &amp; "~ " &amp; TEXT(F32,"0,00%")</f>
        <v>cf. SCA~ 11,65%</v>
      </c>
      <c r="C33" s="62" t="b">
        <v>0</v>
      </c>
      <c r="D33" s="27"/>
      <c r="E33" s="72"/>
      <c r="F33" s="13"/>
      <c r="G33" s="14"/>
      <c r="H33" s="14"/>
      <c r="I33" s="14"/>
      <c r="J33" s="14"/>
      <c r="K33" s="14"/>
      <c r="L33" s="14"/>
      <c r="M33" s="14"/>
      <c r="N33" s="14"/>
    </row>
    <row r="34" spans="1:14" ht="18.600000000000001" customHeight="1" x14ac:dyDescent="0.25">
      <c r="B34" s="57" t="s">
        <v>21</v>
      </c>
      <c r="C34" s="39"/>
      <c r="D34" s="40"/>
      <c r="E34" s="72"/>
      <c r="F34" s="13"/>
      <c r="G34" s="14"/>
      <c r="H34" s="14"/>
      <c r="I34" s="14"/>
      <c r="J34" s="14"/>
      <c r="K34" s="14"/>
      <c r="L34" s="14"/>
      <c r="M34" s="14"/>
      <c r="N34" s="14"/>
    </row>
    <row r="35" spans="1:14" ht="18.600000000000001" customHeight="1" x14ac:dyDescent="0.25">
      <c r="B35" s="55" t="s">
        <v>22</v>
      </c>
      <c r="C35" s="64"/>
      <c r="D35" s="31"/>
      <c r="E35" s="72"/>
      <c r="F35" s="13"/>
      <c r="G35" s="14"/>
      <c r="H35" s="14"/>
      <c r="I35" s="14"/>
      <c r="J35" s="14"/>
      <c r="K35" s="14"/>
      <c r="L35" s="14"/>
      <c r="M35" s="14"/>
      <c r="N35" s="14"/>
    </row>
    <row r="36" spans="1:14" ht="30" x14ac:dyDescent="0.25">
      <c r="B36" s="56" t="str">
        <f>"If the employer’s pension contribution is reduced by X-percent, you must enter the reduction. For example, if the employer’s pension contribution is reduced by " &amp; TEXT(G36,"0,00%") &amp; ", then you enter " &amp; TEXT(G36,"0,00%")</f>
        <v>If the employer’s pension contribution is reduced by X-percent, you must enter the reduction. For example, if the employer’s pension contribution is reduced by 0,50%, then you enter 0,50%</v>
      </c>
      <c r="C36" s="50">
        <f>F36</f>
        <v>0</v>
      </c>
      <c r="D36" s="31">
        <f>IF($J$20="Tilladt",IF(C32=TRUE,0,$D$20*(C36)),IF(H32=TRUE,0,$D$20*(C36)))</f>
        <v>0</v>
      </c>
      <c r="E36" s="72"/>
      <c r="F36" s="41">
        <f>VLOOKUP($C$12,Data,8,FALSE)</f>
        <v>0</v>
      </c>
      <c r="G36" s="42">
        <f>IF(F36=0,0.5%,F36)</f>
        <v>5.0000000000000001E-3</v>
      </c>
      <c r="H36" s="14"/>
      <c r="I36" s="14"/>
      <c r="J36" s="14"/>
      <c r="K36" s="14"/>
      <c r="L36" s="14"/>
      <c r="M36" s="14"/>
      <c r="N36" s="14"/>
    </row>
    <row r="37" spans="1:14" ht="15.6" customHeight="1" x14ac:dyDescent="0.25">
      <c r="B37" s="56"/>
      <c r="C37" s="65"/>
      <c r="D37" s="27"/>
      <c r="E37" s="72"/>
      <c r="F37" s="13"/>
      <c r="G37" s="14"/>
      <c r="H37" s="14"/>
      <c r="I37" s="14"/>
      <c r="J37" s="14"/>
      <c r="K37" s="14"/>
      <c r="L37" s="14"/>
      <c r="M37" s="14"/>
      <c r="N37" s="14"/>
    </row>
    <row r="38" spans="1:14" ht="18.600000000000001" customHeight="1" x14ac:dyDescent="0.25">
      <c r="B38" s="54" t="s">
        <v>23</v>
      </c>
      <c r="C38" s="46"/>
      <c r="D38" s="38"/>
      <c r="E38" s="72"/>
      <c r="G38" s="14"/>
      <c r="H38" s="14"/>
      <c r="I38" s="14"/>
      <c r="J38" s="14"/>
      <c r="K38" s="14"/>
      <c r="L38" s="14"/>
      <c r="M38" s="14"/>
      <c r="N38" s="14"/>
    </row>
    <row r="39" spans="1:14" ht="18.600000000000001" customHeight="1" x14ac:dyDescent="0.25">
      <c r="B39" s="55" t="s">
        <v>39</v>
      </c>
      <c r="C39" s="63" t="b">
        <v>0</v>
      </c>
      <c r="D39" s="30"/>
      <c r="E39" s="72"/>
      <c r="F39" s="13"/>
      <c r="G39" s="14"/>
      <c r="H39" s="14"/>
      <c r="I39" s="14"/>
      <c r="J39" s="14"/>
      <c r="K39" s="14"/>
      <c r="L39" s="14"/>
      <c r="M39" s="14"/>
      <c r="N39" s="14"/>
    </row>
    <row r="40" spans="1:14" ht="18.600000000000001" customHeight="1" x14ac:dyDescent="0.25">
      <c r="B40" s="56" t="str">
        <f>"Tick the box if you are entitled to the special holiday allowance of " &amp; TEXT(G40,"0,00%.")</f>
        <v>Tick the box if you are entitled to the special holiday allowance of 3,25%.</v>
      </c>
      <c r="C40" s="48" t="b">
        <v>0</v>
      </c>
      <c r="D40" s="30">
        <f>IF($J$20="Tilladt",IF(C40=TRUE,0,$D$20*F40),IF(H40=TRUE,0,$D$20*F40))</f>
        <v>1782</v>
      </c>
      <c r="E40" s="72"/>
      <c r="F40" s="13">
        <f>VLOOKUP($C$12,Data,9,FALSE)</f>
        <v>2.2499999999999999E-2</v>
      </c>
      <c r="G40" s="13">
        <f>F40+1%</f>
        <v>3.2500000000000001E-2</v>
      </c>
      <c r="H40" s="43" t="b">
        <f>VLOOKUP($C$12,Data,17,FALSE)</f>
        <v>0</v>
      </c>
      <c r="I40" s="14"/>
      <c r="J40" s="14"/>
      <c r="K40" s="14"/>
      <c r="L40" s="14"/>
      <c r="M40" s="14"/>
      <c r="N40" s="14"/>
    </row>
    <row r="41" spans="1:14" ht="24.95" customHeight="1" x14ac:dyDescent="0.25">
      <c r="B41" s="112" t="str">
        <f>"The value of the special holiday allowance is " &amp; TEXT(F40,"0,00%")  &amp; " if it is included in your monthly salary, as you continue to receive a holiday allowance of 1.00% per year in accordance with the Danish Holiday Act."</f>
        <v>The value of the special holiday allowance is 2,25% if it is included in your monthly salary, as you continue to receive a holiday allowance of 1.00% per year in accordance with the Danish Holiday Act.</v>
      </c>
      <c r="C41" s="62" t="b">
        <v>1</v>
      </c>
      <c r="D41" s="27"/>
      <c r="E41" s="72"/>
      <c r="F41" s="13"/>
      <c r="G41" s="14"/>
      <c r="H41" s="14"/>
      <c r="I41" s="14"/>
      <c r="J41" s="14"/>
      <c r="K41" s="14"/>
      <c r="L41" s="14"/>
      <c r="M41" s="14"/>
      <c r="N41" s="14"/>
    </row>
    <row r="42" spans="1:14" ht="18.600000000000001" customHeight="1" x14ac:dyDescent="0.25">
      <c r="B42" s="52" t="s">
        <v>24</v>
      </c>
      <c r="C42" s="46"/>
      <c r="D42" s="38"/>
      <c r="E42" s="72"/>
      <c r="G42" s="16"/>
      <c r="H42" s="16"/>
      <c r="I42" s="16"/>
      <c r="J42" s="16"/>
      <c r="K42" s="16"/>
      <c r="L42" s="16"/>
      <c r="M42" s="16"/>
      <c r="N42" s="16"/>
    </row>
    <row r="43" spans="1:14" ht="18.600000000000001" customHeight="1" x14ac:dyDescent="0.25">
      <c r="B43" s="53" t="s">
        <v>25</v>
      </c>
      <c r="C43" s="63" t="b">
        <v>0</v>
      </c>
      <c r="D43" s="30"/>
      <c r="E43" s="72"/>
      <c r="F43" s="15"/>
      <c r="G43" s="16"/>
      <c r="H43" s="16"/>
      <c r="I43" s="16"/>
      <c r="J43" s="16"/>
      <c r="K43" s="16"/>
      <c r="L43" s="16"/>
      <c r="M43" s="16"/>
      <c r="N43" s="16"/>
    </row>
    <row r="44" spans="1:14" ht="18.600000000000001" customHeight="1" x14ac:dyDescent="0.25">
      <c r="B44" s="51" t="s">
        <v>26</v>
      </c>
      <c r="C44" s="48" t="b">
        <v>0</v>
      </c>
      <c r="D44" s="30">
        <f>IF($J$20="Tilladt",IF(C44=TRUE,0,$D$20*F44),IF(H44=TRUE,0,$D$20*F44))</f>
        <v>409.464</v>
      </c>
      <c r="E44" s="72"/>
      <c r="F44" s="15">
        <f>VLOOKUP($C$12,Data,10,FALSE)</f>
        <v>5.1700000000000001E-3</v>
      </c>
      <c r="G44" s="16"/>
      <c r="H44" s="74" t="b">
        <f>VLOOKUP($C$12,Data,18,FALSE)</f>
        <v>0</v>
      </c>
      <c r="I44" s="16"/>
      <c r="J44" s="16"/>
      <c r="K44" s="16"/>
      <c r="L44" s="16"/>
      <c r="M44" s="16"/>
      <c r="N44" s="16"/>
    </row>
    <row r="45" spans="1:14" ht="23.25" x14ac:dyDescent="0.25">
      <c r="B45" s="113" t="str">
        <f>_xlfn._LONGTEXT("The value of the compensation for the abolished public holiday (Great Prayer Day) is calculated on the basis of (the total monthly salary, including the employee’s own pension contribution, the employer’s pension contribution, and the special holiday allo","wance (") &amp; TEXT(G40,"0,00%") &amp; ") ~ " &amp; TEXT(F44,"0,000%")</f>
        <v>The value of the compensation for the abolished public holiday (Great Prayer Day) is calculated on the basis of (the total monthly salary, including the employee’s own pension contribution, the employer’s pension contribution, and the special holiday allowance (3,25%) ~ 0,517%</v>
      </c>
      <c r="C45" s="63" t="b">
        <v>1</v>
      </c>
      <c r="D45" s="30"/>
      <c r="E45" s="72"/>
      <c r="F45" s="15"/>
      <c r="G45" s="16"/>
      <c r="H45" s="16"/>
      <c r="I45" s="16"/>
      <c r="J45" s="16"/>
      <c r="K45" s="16"/>
      <c r="L45" s="16"/>
      <c r="M45" s="16"/>
      <c r="N45" s="16"/>
    </row>
    <row r="46" spans="1:14" ht="18.600000000000001" customHeight="1" x14ac:dyDescent="0.25">
      <c r="B46" s="52" t="s">
        <v>27</v>
      </c>
      <c r="C46" s="94"/>
      <c r="D46" s="93"/>
      <c r="E46" s="72"/>
      <c r="F46" s="15"/>
      <c r="G46" s="16"/>
      <c r="H46" s="16"/>
      <c r="I46" s="16"/>
      <c r="J46" s="16"/>
      <c r="K46" s="16"/>
      <c r="L46" s="16"/>
      <c r="M46" s="16"/>
      <c r="N46" s="16"/>
    </row>
    <row r="47" spans="1:14" s="10" customFormat="1" ht="18.600000000000001" customHeight="1" x14ac:dyDescent="0.25">
      <c r="A47" s="11"/>
      <c r="B47" s="128" t="str">
        <f>IF($C$2=1,'Konstante variabler'!C27,'Konstante variabler'!C28) &amp; " salary limit for employment on an individual contract" &amp; IF($C$2=1," in your company","") &amp; " (gross)"</f>
        <v>The Standard collective agreement salary limit for employment on an individual contract in your company (gross)</v>
      </c>
      <c r="C47" s="129"/>
      <c r="D47" s="99">
        <f>SUM(D20:D44)</f>
        <v>94082.472000000023</v>
      </c>
      <c r="E47" s="96"/>
      <c r="F47" s="97">
        <f>VLOOKUP($C$12,Data,10+F15,FALSE)</f>
        <v>0</v>
      </c>
      <c r="G47" s="98"/>
    </row>
    <row r="48" spans="1:14" s="10" customFormat="1" ht="15.6" customHeight="1" thickBot="1" x14ac:dyDescent="0.3">
      <c r="A48" s="11"/>
      <c r="B48" s="102"/>
      <c r="C48" s="103"/>
      <c r="D48" s="95"/>
      <c r="E48" s="96"/>
      <c r="F48" s="97"/>
      <c r="G48" s="98"/>
    </row>
    <row r="49" spans="2:7" ht="44.1" customHeight="1" x14ac:dyDescent="0.25">
      <c r="B49" s="100" t="s">
        <v>28</v>
      </c>
      <c r="C49" s="101"/>
      <c r="D49" s="104"/>
      <c r="E49" s="75"/>
      <c r="F49" s="18"/>
      <c r="G49" s="17"/>
    </row>
    <row r="50" spans="2:7" ht="30" customHeight="1" thickBot="1" x14ac:dyDescent="0.3">
      <c r="B50" s="130" t="str">
        <f>IF($D$49=0,"",IF(D50&gt;=0,"Your monthly salary exceeds the salary limit for employees on individual contract in "&amp;IF($C$2=1,'Konstante variabler'!B27,'Konstante variabler'!B28)&amp;"the salary limit for contract employees","Your monthly salary is below the salary limit for employees on individual contract in "&amp;IF($C$2=1,'Konstante variabler'!B27,'Konstante variabler'!B28)))</f>
        <v/>
      </c>
      <c r="C50" s="131"/>
      <c r="D50" s="19">
        <f>IF($D$49=0,0, D49-D47)</f>
        <v>0</v>
      </c>
      <c r="E50" s="20"/>
    </row>
    <row r="51" spans="2:7" ht="18.600000000000001" customHeight="1" x14ac:dyDescent="0.25">
      <c r="B51" s="132" t="str">
        <f>IF(D50&lt;0,"This has the following implications:","There is nothing to note.")</f>
        <v>There is nothing to note.</v>
      </c>
      <c r="C51" s="133"/>
      <c r="D51" s="134"/>
    </row>
    <row r="52" spans="2:7" ht="18.600000000000001" customHeight="1" x14ac:dyDescent="0.25">
      <c r="B52" s="135" t="str">
        <f>IF(D50&lt;0,"•      You CANNOT be employed on an individual contract.","" )</f>
        <v/>
      </c>
      <c r="C52" s="136"/>
      <c r="D52" s="137"/>
    </row>
    <row r="53" spans="2:7" ht="39.950000000000003" customHeight="1" x14ac:dyDescent="0.25">
      <c r="B53" s="138" t="str">
        <f>IF(D50&lt;0,"•      Your employer must either increase your monthly salary so that it exceeds the salary limit, or you must be covered by all the terms and conditions in" &amp; CHAR(10) &amp; "        " &amp; IF($C$2=1,'Konstante variabler'!B27,'Konstante variabler'!B28) &amp; " like other employees.","")</f>
        <v/>
      </c>
      <c r="C53" s="139"/>
      <c r="D53" s="140"/>
    </row>
    <row r="54" spans="2:7" ht="18.600000000000001" customHeight="1" thickBot="1" x14ac:dyDescent="0.3">
      <c r="B54" s="123" t="str">
        <f>IF(D50&lt;0,"•      You might be entitled to additional pay – therefore, it's important that you contact Finansforbundet.","")</f>
        <v/>
      </c>
      <c r="C54" s="124"/>
      <c r="D54" s="125"/>
    </row>
    <row r="55" spans="2:7" ht="15" x14ac:dyDescent="0.25">
      <c r="B55" s="21" t="s">
        <v>59</v>
      </c>
      <c r="D55" s="9"/>
    </row>
  </sheetData>
  <sheetProtection algorithmName="SHA-512" hashValue="n0JvskiLCTUqNqVrNCA/RxJ9ghWapKtKcg5fc/GRwnvMLAocNi5O0lzk8PuKUH4M4hG8S9sPlgUYkCPniT+V1w==" saltValue="h+Jek0Fwxa58WwpAggwb0A==" spinCount="100000" sheet="1" selectLockedCells="1"/>
  <mergeCells count="15">
    <mergeCell ref="B3:D3"/>
    <mergeCell ref="B4:D4"/>
    <mergeCell ref="B5:D5"/>
    <mergeCell ref="B6:D6"/>
    <mergeCell ref="B8:D8"/>
    <mergeCell ref="B7:D7"/>
    <mergeCell ref="B9:D9"/>
    <mergeCell ref="B14:C14"/>
    <mergeCell ref="B54:D54"/>
    <mergeCell ref="B19:C19"/>
    <mergeCell ref="B47:C47"/>
    <mergeCell ref="B50:C50"/>
    <mergeCell ref="B51:D51"/>
    <mergeCell ref="B52:D52"/>
    <mergeCell ref="B53:D53"/>
  </mergeCells>
  <phoneticPr fontId="21" type="noConversion"/>
  <conditionalFormatting sqref="B50 D50:E50">
    <cfRule type="expression" dxfId="2" priority="1">
      <formula>$D$50=0</formula>
    </cfRule>
    <cfRule type="expression" dxfId="1" priority="4">
      <formula>$D$50&lt;0</formula>
    </cfRule>
    <cfRule type="expression" dxfId="0" priority="5">
      <formula>AND($D$20 &gt;0,$D$50&gt;0)</formula>
    </cfRule>
  </conditionalFormatting>
  <dataValidations count="18">
    <dataValidation type="textLength" allowBlank="1" showInputMessage="1" showErrorMessage="1" errorTitle="Info" error="Du kan ikke taste i dette felt" sqref="E49" xr:uid="{D51B1107-FF91-4C4A-9343-090F82739BF1}">
      <formula1>0</formula1>
      <formula2>0</formula2>
    </dataValidation>
    <dataValidation type="textLength" allowBlank="1" showInputMessage="1" showErrorMessage="1" errorTitle="Info" error="Du kan ikke taste i dette felt" promptTitle="Info" prompt="Brug musen eller tabulatortasten til at bevæge dig imellem rubrikkerne._x000a__x000a_Du kan sætte kryds med musen eller vha mellemrumstasten." sqref="E3" xr:uid="{8F7EA52E-5BA5-4878-AF6E-8D22D14900A3}">
      <formula1>0</formula1>
      <formula2>0</formula2>
    </dataValidation>
    <dataValidation type="whole" allowBlank="1" showInputMessage="1" showErrorMessage="1" errorTitle="Indtast et positivt tal" error="Tallet skal ligge i intervallet 0 - 500.000" promptTitle="INDTAST - samlet månedsløn" prompt="Indtast din seneste månedsløn inkl. eget pensionsbidrag" sqref="D49" xr:uid="{7F101DF9-A533-4F9E-9643-DE58D9CA16E7}">
      <formula1>0</formula1>
      <formula2>500000</formula2>
    </dataValidation>
    <dataValidation type="textLength" allowBlank="1" showInputMessage="1" showErrorMessage="1" sqref="E50 C49" xr:uid="{3A6879E7-D49D-4BA5-AF96-983317FF4AAF}">
      <formula1>0</formula1>
      <formula2>0</formula2>
    </dataValidation>
    <dataValidation type="list" allowBlank="1" showErrorMessage="1" promptTitle="Vælg årstal" prompt="Vælg det årstal du vil lave en beregning for" sqref="C16" xr:uid="{23346C08-E863-4D58-ACF5-D15DFFB16787}">
      <formula1>ÅrstalListe</formula1>
    </dataValidation>
    <dataValidation type="list" allowBlank="1" showInputMessage="1" showErrorMessage="1" sqref="C13" xr:uid="{1431115A-346D-49A7-8BC0-40E6AF6BFD25}">
      <formula1>Overenskomster</formula1>
    </dataValidation>
    <dataValidation type="decimal" allowBlank="1" showInputMessage="1" showErrorMessage="1" promptTitle="Reduceret arbejdsgivers pensions" prompt="Hvis arbejdsgivers pensionsbidrag nedsættes skal du udfylde dette felt." sqref="C35 C37" xr:uid="{9788FF26-A3FA-433A-BB38-4C9573A94F51}">
      <formula1>0</formula1>
      <formula2>0.1165</formula2>
    </dataValidation>
    <dataValidation allowBlank="1" showInputMessage="1" showErrorMessage="1" promptTitle="Særligt ferietillæg" prompt="Sæt kryds hvis du har ret til særligt ferietillæg" sqref="C39 C41" xr:uid="{E0195123-F928-4317-B44D-CDA42564756B}"/>
    <dataValidation allowBlank="1" showInputMessage="1" showErrorMessage="1" promptTitle="Kompensation St. Bededag" prompt="Sæt kryds hvis du har ret til kompensation - dvs. kompensationen ikke er inkluderet i din løn" sqref="C43 C45:C46" xr:uid="{577C88E8-8A70-4C2E-B707-9868EC6B80AE}"/>
    <dataValidation allowBlank="1" showInputMessage="1" showErrorMessage="1" promptTitle="Arbejdsgivers pensionsbidrag" prompt="Sæt kryds hvis du fastholder uændret arbejdsgivers pensionsbidrag" sqref="C31 C33" xr:uid="{C4E89844-A944-4C57-BF2D-0022A6740AB9}"/>
    <dataValidation allowBlank="1" showInputMessage="1" showErrorMessage="1" promptTitle="6. ferieuge" prompt="Sæt kryds hvis du har ret til 5 overenskomstbetalte feriedage med løn pr. år" sqref="C27 C29" xr:uid="{FC05B468-232B-4286-A35A-C7A3630E42E0}"/>
    <dataValidation type="list" allowBlank="1" showErrorMessage="1" promptTitle="Vælg overenskomst" prompt="Vælg den overenskomst du er omfattet af_x000a_" sqref="C12" xr:uid="{29C0199C-31EB-4827-A2F2-A3680E204F5B}">
      <formula1>Overenskomster</formula1>
    </dataValidation>
    <dataValidation allowBlank="1" showErrorMessage="1" promptTitle="6. ferieuge" prompt="Sæt kryds hvis du har ret til 5 overenskomstbetalte feriedage med løn pr. år" sqref="C28" xr:uid="{637A51C8-E8B9-48BE-A952-7E4E02EC89F5}"/>
    <dataValidation allowBlank="1" showErrorMessage="1" promptTitle="Arbejdsgivers pensionsbidrag" prompt="Sæt kryds hvis du fastholder uændret arbejdsgivers pensionsbidrag" sqref="C32" xr:uid="{EB698BCC-233C-4177-BEB5-19BA8AF11925}"/>
    <dataValidation type="decimal" allowBlank="1" showErrorMessage="1" promptTitle="Reduceret arbejdsgivers pensions" prompt="Hvis arbejdsgivers pensionsbidrag nedsættes skal du udfylde dette felt." sqref="C36" xr:uid="{D0E9E5D4-70B4-44AF-8C17-F5C1B834A09B}">
      <formula1>0</formula1>
      <formula2>0.1165</formula2>
    </dataValidation>
    <dataValidation allowBlank="1" showErrorMessage="1" promptTitle="Særligt ferietillæg" prompt="Sæt kryds hvis du har ret til særligt ferietillæg" sqref="C40" xr:uid="{F102439F-09CC-47D1-B6E4-46B25588BED1}"/>
    <dataValidation allowBlank="1" showErrorMessage="1" promptTitle="Kompensation St. Bededag" prompt="Sæt kryds hvis du har ret til kompensation - dvs. kompensationen ikke er inkluderet i din løn" sqref="C44" xr:uid="{AA4B7D1F-EE2A-47DE-9861-90A74BED1C7E}"/>
    <dataValidation type="custom" allowBlank="1" showInputMessage="1" showErrorMessage="1" sqref="J21" xr:uid="{5F620E89-4C5B-4627-A26B-089FAF87DF86}">
      <formula1>J20="Tilladt"</formula1>
    </dataValidation>
  </dataValidations>
  <printOptions horizontalCentered="1"/>
  <pageMargins left="0.23622047244094491" right="0.23622047244094491" top="0.94488188976377963" bottom="0.15748031496062992" header="0.31496062992125984" footer="0.31496062992125984"/>
  <pageSetup paperSize="9" scale="76" orientation="portrait" r:id="rId1"/>
  <headerFooter>
    <oddHeader>&amp;L&amp;G&amp;R&amp;"-,Kursiv"&amp;8&amp;A side &amp;P af &amp;N udskrevet den &amp;D</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xdr:col>
                    <xdr:colOff>257175</xdr:colOff>
                    <xdr:row>22</xdr:row>
                    <xdr:rowOff>76200</xdr:rowOff>
                  </from>
                  <to>
                    <xdr:col>2</xdr:col>
                    <xdr:colOff>676275</xdr:colOff>
                    <xdr:row>24</xdr:row>
                    <xdr:rowOff>171450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2</xdr:col>
                    <xdr:colOff>257175</xdr:colOff>
                    <xdr:row>26</xdr:row>
                    <xdr:rowOff>28575</xdr:rowOff>
                  </from>
                  <to>
                    <xdr:col>2</xdr:col>
                    <xdr:colOff>676275</xdr:colOff>
                    <xdr:row>28</xdr:row>
                    <xdr:rowOff>190500</xdr:rowOff>
                  </to>
                </anchor>
              </controlPr>
            </control>
          </mc:Choice>
        </mc:AlternateContent>
        <mc:AlternateContent xmlns:mc="http://schemas.openxmlformats.org/markup-compatibility/2006">
          <mc:Choice Requires="x14">
            <control shapeId="2051" r:id="rId7" name="Check Box 3">
              <controlPr defaultSize="0" autoFill="0" autoLine="0" autoPict="0" altText="">
                <anchor moveWithCells="1">
                  <from>
                    <xdr:col>2</xdr:col>
                    <xdr:colOff>257175</xdr:colOff>
                    <xdr:row>30</xdr:row>
                    <xdr:rowOff>0</xdr:rowOff>
                  </from>
                  <to>
                    <xdr:col>2</xdr:col>
                    <xdr:colOff>676275</xdr:colOff>
                    <xdr:row>33</xdr:row>
                    <xdr:rowOff>38100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2</xdr:col>
                    <xdr:colOff>219075</xdr:colOff>
                    <xdr:row>38</xdr:row>
                    <xdr:rowOff>28575</xdr:rowOff>
                  </from>
                  <to>
                    <xdr:col>2</xdr:col>
                    <xdr:colOff>676275</xdr:colOff>
                    <xdr:row>40</xdr:row>
                    <xdr:rowOff>228600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2</xdr:col>
                    <xdr:colOff>238125</xdr:colOff>
                    <xdr:row>42</xdr:row>
                    <xdr:rowOff>9525</xdr:rowOff>
                  </from>
                  <to>
                    <xdr:col>2</xdr:col>
                    <xdr:colOff>676275</xdr:colOff>
                    <xdr:row>44</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6332E-B36A-4B0F-8560-3519D1CA195A}">
  <dimension ref="A1:S28"/>
  <sheetViews>
    <sheetView zoomScale="89" zoomScaleNormal="89" workbookViewId="0">
      <selection activeCell="A7" sqref="A7"/>
    </sheetView>
  </sheetViews>
  <sheetFormatPr defaultRowHeight="15" x14ac:dyDescent="0.25"/>
  <cols>
    <col min="1" max="1" width="53.85546875" customWidth="1"/>
    <col min="2" max="4" width="16.7109375" customWidth="1"/>
    <col min="5" max="5" width="12.85546875" customWidth="1"/>
    <col min="6" max="6" width="10.85546875" customWidth="1"/>
    <col min="7" max="7" width="14.140625" customWidth="1"/>
    <col min="8" max="8" width="15.42578125" customWidth="1"/>
    <col min="9" max="9" width="11.42578125" customWidth="1"/>
    <col min="10" max="10" width="14.28515625" customWidth="1"/>
    <col min="11" max="11" width="14.140625" customWidth="1"/>
    <col min="12" max="12" width="13.5703125" customWidth="1"/>
    <col min="13" max="13" width="13.85546875" customWidth="1"/>
    <col min="19" max="19" width="16.5703125" customWidth="1"/>
  </cols>
  <sheetData>
    <row r="1" spans="1:19" ht="72" customHeight="1" x14ac:dyDescent="0.25">
      <c r="A1" s="1" t="s">
        <v>45</v>
      </c>
      <c r="B1" s="2" t="s">
        <v>33</v>
      </c>
      <c r="C1" s="2" t="s">
        <v>34</v>
      </c>
      <c r="D1" s="2" t="s">
        <v>35</v>
      </c>
      <c r="E1" s="2" t="s">
        <v>14</v>
      </c>
      <c r="F1" s="2" t="s">
        <v>36</v>
      </c>
      <c r="G1" s="2" t="s">
        <v>37</v>
      </c>
      <c r="H1" s="2" t="s">
        <v>38</v>
      </c>
      <c r="I1" s="2" t="s">
        <v>39</v>
      </c>
      <c r="J1" s="2" t="s">
        <v>40</v>
      </c>
      <c r="K1" s="2" t="s">
        <v>41</v>
      </c>
      <c r="L1" s="2" t="s">
        <v>42</v>
      </c>
      <c r="M1" s="2" t="s">
        <v>43</v>
      </c>
      <c r="N1" s="147" t="s">
        <v>1</v>
      </c>
      <c r="O1" s="147"/>
      <c r="P1" s="147"/>
      <c r="Q1" s="147"/>
      <c r="R1" s="147"/>
      <c r="S1" s="2" t="s">
        <v>4</v>
      </c>
    </row>
    <row r="2" spans="1:19" x14ac:dyDescent="0.25">
      <c r="A2" s="3" t="s">
        <v>7</v>
      </c>
      <c r="B2" s="3" t="s">
        <v>12</v>
      </c>
      <c r="C2" s="3" t="s">
        <v>12</v>
      </c>
      <c r="D2" s="3" t="s">
        <v>12</v>
      </c>
      <c r="E2" s="3" t="s">
        <v>13</v>
      </c>
      <c r="F2" s="3" t="s">
        <v>16</v>
      </c>
      <c r="G2" s="3" t="s">
        <v>18</v>
      </c>
      <c r="H2" s="3" t="s">
        <v>21</v>
      </c>
      <c r="I2" s="3" t="s">
        <v>23</v>
      </c>
      <c r="J2" s="3" t="s">
        <v>24</v>
      </c>
      <c r="K2" s="3" t="s">
        <v>27</v>
      </c>
      <c r="L2" s="3" t="s">
        <v>27</v>
      </c>
      <c r="M2" s="3" t="s">
        <v>27</v>
      </c>
      <c r="N2" s="44" t="s">
        <v>13</v>
      </c>
      <c r="O2" s="44" t="s">
        <v>16</v>
      </c>
      <c r="P2" s="44" t="s">
        <v>18</v>
      </c>
      <c r="Q2" s="44" t="s">
        <v>23</v>
      </c>
      <c r="R2" s="44" t="s">
        <v>24</v>
      </c>
    </row>
    <row r="3" spans="1:19" x14ac:dyDescent="0.25">
      <c r="A3" t="s">
        <v>44</v>
      </c>
      <c r="B3" s="4">
        <v>79200</v>
      </c>
      <c r="C3" s="4">
        <v>81200</v>
      </c>
      <c r="D3" s="4">
        <v>83250</v>
      </c>
      <c r="E3" s="5">
        <v>2.1870000000000001E-2</v>
      </c>
      <c r="F3" s="5">
        <v>2.1870000000000001E-2</v>
      </c>
      <c r="G3" s="5">
        <v>0.11650000000000001</v>
      </c>
      <c r="I3" s="5">
        <v>2.2499999999999999E-2</v>
      </c>
      <c r="J3" s="5">
        <v>5.1700000000000001E-3</v>
      </c>
      <c r="N3" t="b">
        <v>0</v>
      </c>
      <c r="O3" t="b">
        <v>0</v>
      </c>
      <c r="P3" t="b">
        <v>0</v>
      </c>
      <c r="Q3" t="b">
        <v>0</v>
      </c>
      <c r="R3" t="b">
        <v>0</v>
      </c>
      <c r="S3" t="s">
        <v>5</v>
      </c>
    </row>
    <row r="4" spans="1:19" x14ac:dyDescent="0.25">
      <c r="A4" t="s">
        <v>54</v>
      </c>
      <c r="B4" s="4">
        <v>79200</v>
      </c>
      <c r="C4" s="4">
        <v>81200</v>
      </c>
      <c r="D4" s="4">
        <v>83250</v>
      </c>
      <c r="E4" s="5">
        <v>2.1870000000000001E-2</v>
      </c>
      <c r="F4" s="5">
        <v>2.1870000000000001E-2</v>
      </c>
      <c r="G4" s="5">
        <v>0.11650000000000001</v>
      </c>
      <c r="I4" s="5">
        <v>2.2499999999999999E-2</v>
      </c>
      <c r="J4" s="5">
        <v>5.1700000000000001E-3</v>
      </c>
      <c r="N4" t="b">
        <v>0</v>
      </c>
      <c r="O4" t="b">
        <v>0</v>
      </c>
      <c r="P4" t="b">
        <v>0</v>
      </c>
      <c r="Q4" t="b">
        <v>0</v>
      </c>
      <c r="R4" t="b">
        <v>0</v>
      </c>
      <c r="S4" t="s">
        <v>5</v>
      </c>
    </row>
    <row r="5" spans="1:19" x14ac:dyDescent="0.25">
      <c r="A5" t="s">
        <v>56</v>
      </c>
      <c r="B5" s="4">
        <v>79200</v>
      </c>
      <c r="C5" s="4">
        <v>81200</v>
      </c>
      <c r="D5" s="4">
        <v>83250</v>
      </c>
      <c r="E5" s="45">
        <v>1.9199999999999998E-2</v>
      </c>
      <c r="F5" s="45">
        <v>1.9199999999999998E-2</v>
      </c>
      <c r="G5" s="45">
        <v>0.13900000000000001</v>
      </c>
      <c r="H5" s="45">
        <v>6.4999999999999997E-3</v>
      </c>
      <c r="I5" s="5">
        <v>2.75E-2</v>
      </c>
      <c r="J5" s="5">
        <v>5.2900000000000004E-3</v>
      </c>
      <c r="K5" s="6">
        <v>83884</v>
      </c>
      <c r="L5" s="6">
        <v>86002</v>
      </c>
      <c r="M5" s="6">
        <v>87733</v>
      </c>
      <c r="N5" t="b">
        <v>0</v>
      </c>
      <c r="O5" t="b">
        <v>1</v>
      </c>
      <c r="P5" t="b">
        <v>0</v>
      </c>
      <c r="Q5" t="b">
        <v>0</v>
      </c>
      <c r="R5" t="b">
        <v>1</v>
      </c>
      <c r="S5" t="s">
        <v>6</v>
      </c>
    </row>
    <row r="6" spans="1:19" x14ac:dyDescent="0.25">
      <c r="A6" t="s">
        <v>57</v>
      </c>
      <c r="B6" s="4">
        <v>79200</v>
      </c>
      <c r="C6" s="4">
        <v>81200</v>
      </c>
      <c r="D6" s="4">
        <v>83250</v>
      </c>
      <c r="E6" s="7">
        <v>2.1909999999999999E-2</v>
      </c>
      <c r="F6" s="5">
        <v>2.1909999999999999E-2</v>
      </c>
      <c r="G6" s="5">
        <v>0.11849999999999999</v>
      </c>
      <c r="H6" s="5"/>
      <c r="I6" s="5">
        <v>2.2499999999999999E-2</v>
      </c>
      <c r="J6" s="5">
        <v>5.2100000000000002E-3</v>
      </c>
      <c r="N6" t="b">
        <v>0</v>
      </c>
      <c r="O6" t="b">
        <v>0</v>
      </c>
      <c r="P6" t="b">
        <v>0</v>
      </c>
      <c r="Q6" t="b">
        <v>0</v>
      </c>
      <c r="R6" t="b">
        <v>0</v>
      </c>
      <c r="S6" t="s">
        <v>5</v>
      </c>
    </row>
    <row r="7" spans="1:19" x14ac:dyDescent="0.25">
      <c r="B7" s="4"/>
      <c r="C7" s="4"/>
      <c r="D7" s="4"/>
      <c r="E7" s="5"/>
      <c r="F7" s="5"/>
      <c r="G7" s="5"/>
      <c r="H7" s="5"/>
      <c r="I7" s="5"/>
      <c r="J7" s="5"/>
    </row>
    <row r="8" spans="1:19" x14ac:dyDescent="0.25">
      <c r="A8" t="s">
        <v>58</v>
      </c>
      <c r="B8" s="4">
        <v>79200</v>
      </c>
      <c r="C8" s="4">
        <v>81200</v>
      </c>
      <c r="D8" s="4">
        <v>83250</v>
      </c>
      <c r="E8" s="5">
        <v>2.1870000000000001E-2</v>
      </c>
      <c r="F8" s="5">
        <v>2.1870000000000001E-2</v>
      </c>
      <c r="G8" s="5">
        <v>0.11650000000000001</v>
      </c>
      <c r="H8" s="5"/>
      <c r="I8" s="5">
        <v>2.2499999999999999E-2</v>
      </c>
      <c r="J8" s="5">
        <v>5.1700000000000001E-3</v>
      </c>
      <c r="N8" t="b">
        <v>0</v>
      </c>
      <c r="O8" t="b">
        <v>0</v>
      </c>
      <c r="P8" t="b">
        <v>0</v>
      </c>
      <c r="Q8" t="b">
        <v>0</v>
      </c>
      <c r="R8" t="b">
        <v>0</v>
      </c>
      <c r="S8" t="s">
        <v>5</v>
      </c>
    </row>
    <row r="9" spans="1:19" x14ac:dyDescent="0.25">
      <c r="A9" t="s">
        <v>55</v>
      </c>
      <c r="B9" s="4">
        <v>79200</v>
      </c>
      <c r="C9" s="4">
        <v>81200</v>
      </c>
      <c r="D9" s="4">
        <v>83250</v>
      </c>
      <c r="E9" s="5">
        <v>2.1870000000000001E-2</v>
      </c>
      <c r="F9" s="5">
        <v>2.1870000000000001E-2</v>
      </c>
      <c r="G9" s="5">
        <v>0.11650000000000001</v>
      </c>
      <c r="H9" s="5"/>
      <c r="I9" s="5">
        <v>2.2499999999999999E-2</v>
      </c>
      <c r="J9" s="5">
        <v>5.1700000000000001E-3</v>
      </c>
      <c r="N9" t="b">
        <v>0</v>
      </c>
      <c r="O9" t="b">
        <v>0</v>
      </c>
      <c r="P9" t="b">
        <v>0</v>
      </c>
      <c r="Q9" t="b">
        <v>0</v>
      </c>
      <c r="R9" t="b">
        <v>0</v>
      </c>
      <c r="S9" t="s">
        <v>5</v>
      </c>
    </row>
    <row r="18" spans="1:10" ht="15.75" thickBot="1" x14ac:dyDescent="0.3">
      <c r="G18" s="88"/>
    </row>
    <row r="19" spans="1:10" ht="15.75" thickBot="1" x14ac:dyDescent="0.3">
      <c r="A19" s="80" t="s">
        <v>29</v>
      </c>
      <c r="B19" s="81" t="s">
        <v>30</v>
      </c>
    </row>
    <row r="20" spans="1:10" x14ac:dyDescent="0.25">
      <c r="A20" s="77">
        <v>2025</v>
      </c>
      <c r="B20" s="28">
        <v>1</v>
      </c>
    </row>
    <row r="21" spans="1:10" x14ac:dyDescent="0.25">
      <c r="A21" s="77">
        <v>2026</v>
      </c>
      <c r="B21" s="28">
        <v>2</v>
      </c>
    </row>
    <row r="22" spans="1:10" ht="15.75" thickBot="1" x14ac:dyDescent="0.3">
      <c r="A22" s="78">
        <v>2027</v>
      </c>
      <c r="B22" s="79">
        <v>3</v>
      </c>
    </row>
    <row r="25" spans="1:10" ht="15.75" thickBot="1" x14ac:dyDescent="0.3"/>
    <row r="26" spans="1:10" ht="15.75" thickBot="1" x14ac:dyDescent="0.3">
      <c r="A26" s="80" t="s">
        <v>2</v>
      </c>
      <c r="B26" s="86"/>
      <c r="C26" s="87"/>
      <c r="D26" s="117"/>
    </row>
    <row r="27" spans="1:10" ht="59.45" customHeight="1" x14ac:dyDescent="0.25">
      <c r="A27" s="82" t="s">
        <v>44</v>
      </c>
      <c r="B27" s="82" t="s">
        <v>44</v>
      </c>
      <c r="C27" s="83" t="s">
        <v>32</v>
      </c>
      <c r="D27" s="115" t="s">
        <v>52</v>
      </c>
      <c r="E27" s="76"/>
      <c r="F27" s="76"/>
      <c r="G27" s="76"/>
      <c r="H27" s="76"/>
      <c r="I27" s="76"/>
      <c r="J27" s="76"/>
    </row>
    <row r="28" spans="1:10" ht="44.1" customHeight="1" thickBot="1" x14ac:dyDescent="0.3">
      <c r="A28" s="84" t="s">
        <v>46</v>
      </c>
      <c r="B28" s="84" t="s">
        <v>46</v>
      </c>
      <c r="C28" s="85" t="s">
        <v>31</v>
      </c>
      <c r="D28" s="116" t="s">
        <v>53</v>
      </c>
      <c r="E28" s="76"/>
      <c r="F28" s="76"/>
      <c r="G28" s="76"/>
      <c r="H28" s="76"/>
      <c r="I28" s="76"/>
      <c r="J28" s="76"/>
    </row>
  </sheetData>
  <mergeCells count="1">
    <mergeCell ref="N1:R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f4482d-4bb9-4eac-81db-77d9c4a8f22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99A107A0B21484993032AB7C22C7908" ma:contentTypeVersion="9" ma:contentTypeDescription="Opret et nyt dokument." ma:contentTypeScope="" ma:versionID="3ea71916df6b5bf0521851d1fd7d967c">
  <xsd:schema xmlns:xsd="http://www.w3.org/2001/XMLSchema" xmlns:xs="http://www.w3.org/2001/XMLSchema" xmlns:p="http://schemas.microsoft.com/office/2006/metadata/properties" xmlns:ns2="73f4482d-4bb9-4eac-81db-77d9c4a8f22c" targetNamespace="http://schemas.microsoft.com/office/2006/metadata/properties" ma:root="true" ma:fieldsID="6642448b27290bff25fa0ac04692cfc0" ns2:_="">
    <xsd:import namespace="73f4482d-4bb9-4eac-81db-77d9c4a8f22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4482d-4bb9-4eac-81db-77d9c4a8f2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bd4caa44-722c-46c1-a29e-828a9f31da7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85C9E8-E766-49B0-8C3F-2E376B95CAF7}">
  <ds:schemaRefs>
    <ds:schemaRef ds:uri="http://purl.org/dc/elements/1.1/"/>
    <ds:schemaRef ds:uri="http://schemas.microsoft.com/office/2006/metadata/properties"/>
    <ds:schemaRef ds:uri="http://schemas.microsoft.com/office/2006/documentManagement/types"/>
    <ds:schemaRef ds:uri="73f4482d-4bb9-4eac-81db-77d9c4a8f22c"/>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AAC6CBA-82B6-44F2-BCF2-7A4228EDC78A}">
  <ds:schemaRefs>
    <ds:schemaRef ds:uri="http://schemas.microsoft.com/sharepoint/v3/contenttype/forms"/>
  </ds:schemaRefs>
</ds:datastoreItem>
</file>

<file path=customXml/itemProps3.xml><?xml version="1.0" encoding="utf-8"?>
<ds:datastoreItem xmlns:ds="http://schemas.openxmlformats.org/officeDocument/2006/customXml" ds:itemID="{6E26E36B-6E43-43A7-8EEA-3D54315EF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4482d-4bb9-4eac-81db-77d9c4a8f2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bdcabb0-4c58-4f31-8c4c-94b89ab3b9f6}" enabled="1" method="Standard" siteId="{7c2da93e-cc41-4f85-94d2-a124c32f9b3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5</vt:i4>
      </vt:variant>
    </vt:vector>
  </HeadingPairs>
  <TitlesOfParts>
    <vt:vector size="7" baseType="lpstr">
      <vt:lpstr>Contract Salary Limits</vt:lpstr>
      <vt:lpstr>Konstante variabler</vt:lpstr>
      <vt:lpstr>Data</vt:lpstr>
      <vt:lpstr>Overenskomster</vt:lpstr>
      <vt:lpstr>'Contract Salary Limits'!Udskriftsområde</vt:lpstr>
      <vt:lpstr>ÅrstalListe</vt:lpstr>
      <vt:lpstr>ÅrstalOpslag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Jørgen Wendt</dc:creator>
  <cp:lastModifiedBy>Rasmus Nørgaard Høgh</cp:lastModifiedBy>
  <cp:lastPrinted>2025-12-03T10:54:56Z</cp:lastPrinted>
  <dcterms:created xsi:type="dcterms:W3CDTF">2025-11-13T08:44:59Z</dcterms:created>
  <dcterms:modified xsi:type="dcterms:W3CDTF">2026-06-17T08:01:13Z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0x010100899A107A0B21484993032AB7C22C7908</vt:lpwstr>
  </property>
  <property fmtid="{D5CDD505-2E9C-101B-9397-08002B2CF9AE}" pid="3" name="MediaServiceImageTags">
    <vt:lpwstr/>
  </property>
</Properties>
</file>